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style4.xml" ContentType="application/vnd.ms-office.chartstyle+xml"/>
  <Override PartName="/xl/charts/style5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colors5.xml" ContentType="application/vnd.ms-office.chartcolor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DieseArbeitsmappe" defaultThemeVersion="124226"/>
  <bookViews>
    <workbookView xWindow="0" yWindow="0" windowWidth="28800" windowHeight="12435"/>
  </bookViews>
  <sheets>
    <sheet name="Anleitung" sheetId="4" r:id="rId1"/>
    <sheet name="Isotherme für Wheeler-Jonas" sheetId="2" r:id="rId2"/>
    <sheet name="Wheeler-Jonas" sheetId="1" r:id="rId3"/>
    <sheet name="Yoon-Nelson" sheetId="3" r:id="rId4"/>
  </sheets>
  <calcPr calcId="125725"/>
</workbook>
</file>

<file path=xl/calcChain.xml><?xml version="1.0" encoding="utf-8"?>
<calcChain xmlns="http://schemas.openxmlformats.org/spreadsheetml/2006/main">
  <c r="O21" i="3"/>
  <c r="G21"/>
  <c r="K21"/>
  <c r="D30"/>
  <c r="D31"/>
  <c r="D32"/>
  <c r="D33"/>
  <c r="D34"/>
  <c r="D35"/>
  <c r="D36"/>
  <c r="D37"/>
  <c r="D38"/>
  <c r="D39"/>
  <c r="D40"/>
  <c r="C30"/>
  <c r="C31"/>
  <c r="C32"/>
  <c r="C33"/>
  <c r="C34"/>
  <c r="C35"/>
  <c r="C36"/>
  <c r="C37"/>
  <c r="C38"/>
  <c r="C39"/>
  <c r="C40"/>
  <c r="C29"/>
  <c r="C22"/>
  <c r="O20"/>
  <c r="K20"/>
  <c r="G20"/>
  <c r="C20"/>
  <c r="C21"/>
  <c r="N13"/>
  <c r="F13"/>
  <c r="B13"/>
  <c r="B8"/>
  <c r="B2"/>
  <c r="J13" s="1"/>
  <c r="B10" i="2"/>
  <c r="E21" s="1"/>
  <c r="B16"/>
  <c r="C21" s="1"/>
  <c r="O22" i="3" l="1"/>
  <c r="O39" s="1"/>
  <c r="P39" s="1"/>
  <c r="O36"/>
  <c r="P36" s="1"/>
  <c r="G22"/>
  <c r="K22"/>
  <c r="D29"/>
  <c r="C24" i="2"/>
  <c r="C20"/>
  <c r="C22"/>
  <c r="E20"/>
  <c r="E22"/>
  <c r="O38" i="3" l="1"/>
  <c r="P38" s="1"/>
  <c r="O37"/>
  <c r="P37" s="1"/>
  <c r="O34"/>
  <c r="P34" s="1"/>
  <c r="O33"/>
  <c r="P33" s="1"/>
  <c r="O32"/>
  <c r="P32" s="1"/>
  <c r="O30"/>
  <c r="P30" s="1"/>
  <c r="O29"/>
  <c r="P29" s="1"/>
  <c r="O35"/>
  <c r="P35" s="1"/>
  <c r="O31"/>
  <c r="P31" s="1"/>
  <c r="O40"/>
  <c r="P40" s="1"/>
  <c r="G36"/>
  <c r="H36" s="1"/>
  <c r="G33"/>
  <c r="H33" s="1"/>
  <c r="G35"/>
  <c r="H35" s="1"/>
  <c r="G40"/>
  <c r="H40" s="1"/>
  <c r="G37"/>
  <c r="H37" s="1"/>
  <c r="G32"/>
  <c r="H32" s="1"/>
  <c r="G29"/>
  <c r="H29" s="1"/>
  <c r="G39"/>
  <c r="H39" s="1"/>
  <c r="G34"/>
  <c r="H34" s="1"/>
  <c r="G31"/>
  <c r="H31" s="1"/>
  <c r="G38"/>
  <c r="H38" s="1"/>
  <c r="G30"/>
  <c r="H30" s="1"/>
  <c r="K40"/>
  <c r="L40" s="1"/>
  <c r="K36"/>
  <c r="L36" s="1"/>
  <c r="K32"/>
  <c r="L32" s="1"/>
  <c r="K39"/>
  <c r="L39" s="1"/>
  <c r="K35"/>
  <c r="L35" s="1"/>
  <c r="K31"/>
  <c r="L31" s="1"/>
  <c r="K38"/>
  <c r="L38" s="1"/>
  <c r="K34"/>
  <c r="L34" s="1"/>
  <c r="K30"/>
  <c r="L30" s="1"/>
  <c r="K37"/>
  <c r="L37" s="1"/>
  <c r="K33"/>
  <c r="L33" s="1"/>
  <c r="K29"/>
  <c r="L29" s="1"/>
  <c r="J23" i="2"/>
  <c r="J24"/>
  <c r="E24" l="1"/>
  <c r="K16" i="1" l="1"/>
  <c r="D24" i="2"/>
  <c r="B2" i="1"/>
  <c r="K13" s="1"/>
  <c r="K19" l="1"/>
  <c r="H13"/>
  <c r="E13"/>
  <c r="B13"/>
  <c r="C22" s="1"/>
  <c r="F25" l="1"/>
  <c r="F26"/>
  <c r="B31"/>
  <c r="F23"/>
  <c r="F22"/>
  <c r="F24"/>
  <c r="C24"/>
  <c r="C25"/>
  <c r="C26"/>
  <c r="C27" s="1"/>
  <c r="C30" s="1"/>
  <c r="B30"/>
  <c r="C23"/>
  <c r="I25"/>
  <c r="B32"/>
  <c r="I22"/>
  <c r="I23"/>
  <c r="I24"/>
  <c r="I27" l="1"/>
  <c r="C32" s="1"/>
  <c r="F27"/>
  <c r="C31" l="1"/>
  <c r="L21" s="1"/>
  <c r="L44" l="1"/>
  <c r="M44" s="1"/>
  <c r="L41"/>
  <c r="M41" s="1"/>
  <c r="L33"/>
  <c r="M33" s="1"/>
  <c r="L37"/>
  <c r="M37" s="1"/>
  <c r="L39"/>
  <c r="M39" s="1"/>
  <c r="L34"/>
  <c r="M34" s="1"/>
  <c r="L47"/>
  <c r="M47" s="1"/>
  <c r="L36"/>
  <c r="M36" s="1"/>
  <c r="L53"/>
  <c r="M53" s="1"/>
  <c r="L48"/>
  <c r="M48" s="1"/>
  <c r="L46"/>
  <c r="M46" s="1"/>
  <c r="L49"/>
  <c r="M49" s="1"/>
  <c r="L45"/>
  <c r="M45" s="1"/>
  <c r="L38"/>
  <c r="M38" s="1"/>
  <c r="L31"/>
  <c r="M31" s="1"/>
  <c r="L51"/>
  <c r="M51" s="1"/>
  <c r="L40"/>
  <c r="M40" s="1"/>
  <c r="L52"/>
  <c r="M52" s="1"/>
  <c r="L50"/>
  <c r="M50" s="1"/>
  <c r="L42"/>
  <c r="M42" s="1"/>
  <c r="L32"/>
  <c r="M32" s="1"/>
  <c r="L30"/>
  <c r="M30" s="1"/>
  <c r="L43"/>
  <c r="M43" s="1"/>
  <c r="L35"/>
  <c r="M35" s="1"/>
</calcChain>
</file>

<file path=xl/sharedStrings.xml><?xml version="1.0" encoding="utf-8"?>
<sst xmlns="http://schemas.openxmlformats.org/spreadsheetml/2006/main" count="136" uniqueCount="88">
  <si>
    <t>Konzentration / ppm</t>
  </si>
  <si>
    <t>Temperatur / °C</t>
  </si>
  <si>
    <t>Temperatur / K</t>
  </si>
  <si>
    <t>Druck / mbar</t>
  </si>
  <si>
    <t>Molare Masse / g/mol</t>
  </si>
  <si>
    <t>für Toluol</t>
  </si>
  <si>
    <t>Konzentration / mg/m³</t>
  </si>
  <si>
    <t>Materialdaten</t>
  </si>
  <si>
    <t>Rondenfläche / m²</t>
  </si>
  <si>
    <t xml:space="preserve">AK pro Ronde (m) / mg/Ronde </t>
  </si>
  <si>
    <t>AK-Grammatur / g/m²</t>
  </si>
  <si>
    <t>Gleichgewichtsbladung (X_GGW) / mg/mg</t>
  </si>
  <si>
    <t>Schüttdichte Festbett / mg/m³</t>
  </si>
  <si>
    <t>Volumenstrom / L/min</t>
  </si>
  <si>
    <t>Eingabe Messdaten</t>
  </si>
  <si>
    <t>Durchbruchszeiten in min bei DB [%] von:</t>
  </si>
  <si>
    <t>t_s bzw. t(DB=50 %) / min</t>
  </si>
  <si>
    <t>Berechnung aus Isothermengleichung</t>
  </si>
  <si>
    <t>Mittelwerte:</t>
  </si>
  <si>
    <t>Abhängigkeit k_V von Konzentration:</t>
  </si>
  <si>
    <t>Eintrittskonzentration c_ein / ppm</t>
  </si>
  <si>
    <t>c_ein</t>
  </si>
  <si>
    <t>k_v</t>
  </si>
  <si>
    <t>Durchbruch / %</t>
  </si>
  <si>
    <t>t_DB / min</t>
  </si>
  <si>
    <t>t_DB / h</t>
  </si>
  <si>
    <t>Annahme, dass die Freundlich Isotherme die Messdaten hinreichend gut beschreibt.</t>
  </si>
  <si>
    <t>gemessen und mit Massenbilanz berechnet:</t>
  </si>
  <si>
    <t>Allgemeine Parameter</t>
  </si>
  <si>
    <t>Achtung: Hier wird die Isotherme in der Form bzw. den Einheiten X_GGW [mg Tol. / mg AK] = f(c_ein [mg/m³]) berechnet. Dies soll die Notwendigkeit von Umrechnungen für das Einsetzten in die Wheeler-Jonas-Gleichung vermeiden.</t>
  </si>
  <si>
    <t>a</t>
  </si>
  <si>
    <t>Freundlich-Koeffizient</t>
  </si>
  <si>
    <t>1/n</t>
  </si>
  <si>
    <t>reziproker Freundlich-Exponent</t>
  </si>
  <si>
    <t>wird mit der Freundlich-Gleichung berechnet</t>
  </si>
  <si>
    <t>ads. Masse Toluol pro AK-Masse / mg Tol./mg AK</t>
  </si>
  <si>
    <t>k_v berechnet</t>
  </si>
  <si>
    <t>Zeit in h</t>
  </si>
  <si>
    <t>Mittelwerte k*</t>
  </si>
  <si>
    <t>DB / %</t>
  </si>
  <si>
    <t>Zeit / min</t>
  </si>
  <si>
    <t>Vorhersage der weiteren DBK-Verläufe ab DB= 50 %</t>
  </si>
  <si>
    <t>Hier werden die die experimentell ermittelten Zeiten bei einem definierten Durchbruch eingegeben:</t>
  </si>
  <si>
    <t>absolute adsorbierte Masse Toluol / mg</t>
  </si>
  <si>
    <t>Legende:</t>
  </si>
  <si>
    <t>Eingabefeld</t>
  </si>
  <si>
    <t>Ausgabefeld</t>
  </si>
  <si>
    <t>1/k* berechnet</t>
  </si>
  <si>
    <t xml:space="preserve">gesuchte Gleichgewichtsbeladung X_GGW bei </t>
  </si>
  <si>
    <t>Anleitung</t>
  </si>
  <si>
    <t>Allgemein:</t>
  </si>
  <si>
    <t>Diese Datei besteht aus folgenden drei Tabellenblättern:</t>
  </si>
  <si>
    <t>Grüne Felder sind Eingabefelder</t>
  </si>
  <si>
    <t>Graue Felder sind Ausgabefelder</t>
  </si>
  <si>
    <t xml:space="preserve">1). Eingabe der Materialparameter </t>
  </si>
  <si>
    <t>Achtung: Überall sind die angegebenen Einheiten zu beachten!</t>
  </si>
  <si>
    <t>2). Eingabe der allgemeinen Parameter (Temperatur, Druck, molare Masse)</t>
  </si>
  <si>
    <t>2). Eingabe der Materialdaten</t>
  </si>
  <si>
    <t>Für niedrige Konzentration: Vorhersage anhand der Freundlich-Anpassung an GGW-Beladungen bei höheren Konzentrationen</t>
  </si>
  <si>
    <t>4). Für die jeweilige Konzentration: Eingabe der Messdaten:</t>
  </si>
  <si>
    <t>4.1). Die Zeit bis einem Durchbruch von 50 % (t_s=t_DB (50 % DB)</t>
  </si>
  <si>
    <t xml:space="preserve">4.2). Die Zeiten bis zu definierten Durchbrüchen (bspw. 30, 40 , 60 und 70 % DB) zur Berechnung des k_v. Dabei ist der linear ansteigende DBK-Bereich zu betrachten. </t>
  </si>
  <si>
    <t>Anmerkung:</t>
  </si>
  <si>
    <t>Bitte überprüfen Sie, ob ein linearer Zusammenhang vorliegt.</t>
  </si>
  <si>
    <t>5).  Die Durchbruchskurvenwerte werden berechnet und die Durchbruchskurven dargestellt.</t>
  </si>
  <si>
    <r>
      <t xml:space="preserve">1). Eingabe der allgemeinen bzw. der betrieblichen Parameter (Druck, Temperatur und </t>
    </r>
    <r>
      <rPr>
        <b/>
        <u/>
        <sz val="11"/>
        <color theme="1"/>
        <rFont val="Calibri"/>
        <family val="2"/>
        <scheme val="minor"/>
      </rPr>
      <t>Nenn</t>
    </r>
    <r>
      <rPr>
        <sz val="11"/>
        <color theme="1"/>
        <rFont val="Calibri"/>
        <family val="2"/>
        <scheme val="minor"/>
      </rPr>
      <t>volumenstrom). Entsprechende Einheiten sind zu beachten.</t>
    </r>
  </si>
  <si>
    <t>Für niedrige Konzentration: Vorhersage anhand einer linearen Anpassung aus Messwerten bei höheren Konzentrationen</t>
  </si>
  <si>
    <t xml:space="preserve">4.2). Die Zeiten bis zu definierten Durchbrüchen (bspw. 30, und 40 % DB) zur Berechnung des k_v. Dabei ist der linear ansteigende DBK-Bereich zu betrachten. </t>
  </si>
  <si>
    <t>5).  Die Durchbruchskurvenwerte werden berechnet und die berechneten Abschnitte der Durchbruchskurven dargestellt.</t>
  </si>
  <si>
    <t>Dazu wird mit Hilfe der Freundlich-Gleichung (s. o.:Berechnung mit Hilfe der Freundlich-Gleichung) die Gleichgewichtsbeladung berechnet und mit den Messwerten der Massentransferkoeffizienten k_v (siehe Bild unten) bei niedriger Konzentration bestimmt.</t>
  </si>
  <si>
    <t>Für die Vorhersage werden Versuche bei mindestens drei unterschiedlichen höheren Konzentrationen empfohlen (bspw. 90, 40 und 9 ppm für die Vorhersage von DBK bei 0,9 oder 0,09 ppm)!</t>
  </si>
  <si>
    <r>
      <t>3). Eingabe der Eintritt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konzentrationen der Messungen und der gewünschten Vorhersage</t>
    </r>
  </si>
  <si>
    <r>
      <t>Aus den berechneten k_v-Werten (graue Felder) bei jeweiliger Konzentration wird der Mittelwert gebildet. Die Mittelwerte werden als Funktion der Eintritt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konzentration aufgetragen. Mit Hilfe einer linearen Anpassung kann der k_v-Wert bei der gewünschten niedrigen Konzentration vorhergesagt werden. </t>
    </r>
  </si>
  <si>
    <t>Mit Hilfe dieses Tabellenblattes werden die Verläufe der Durchbruchskurven über den 50-%-Durchbruch hinaus  anhand der Messdaten bis zu dem  50-%-Durchbruch berechnet.</t>
  </si>
  <si>
    <t>1). Tabellenblatt zur rechnerischen Ermittlung von Gleichgewichtsbeladungen bei niedrigen Konzentrationen anhand der Messwerte bei höheren Konzentrationen mit Hilfe der Freundlich-Anpassung</t>
  </si>
  <si>
    <t xml:space="preserve">2). Tabellenblatt zur rechnerischen Ermittlung  von Durchbruchskurven bei niedrigen Konzentrationen anhand der Messwerte bei höheren Konzentrationen mit Hilfe der Wheeler-Jonas-Gleichung (detaillierte Beschreibung und Validierung im Schlussbericht) </t>
  </si>
  <si>
    <t xml:space="preserve">3). Tabellenblatt zur rechnerischen Ermittlung  von Durchbruchskurvenabschnitten nach einer partiellen Messung mit Hilfe der Yoon-Nelson-Gleichung (detaillierte Beschreibung und Validierung im Schlussbericht) </t>
  </si>
  <si>
    <t>Berechnung der Gleichgewichtsbeladung mit Hilfe der Freundlich-Anpassung:</t>
  </si>
  <si>
    <t>Berechnung von DBK bei niedrigen Konz. mit Messdaten bei höheren Konz.:</t>
  </si>
  <si>
    <t>Die nach Schritt 4) berechnete Gleichgewichtsbeladung wird automatisch in das Tabellenblatt "Wheeler-Jonas" übertragen.</t>
  </si>
  <si>
    <t>4). Eingabe der Konzentration, deren Gleichgewichtsbeladung gesucht wird</t>
  </si>
  <si>
    <t>3). Eingabe der Testkonzentrationen, bei denen die Versuche durchgeführt wurden, mit den jeweiligen Gleichgewichtsbeladungen. Letztere bspw. aus einer Massenbilanz über das Medium berechnen</t>
  </si>
  <si>
    <t>Mit Hilfe dieses Tabellenblattes können Durchbruchskurven bei niedriger Konzentration (bspw. 0,9 oder 0,09 ppm) anhand der Messdaten bei höherer Konzentration (bspw. 9, 40 und 90 ppm) mit der Wheeler-Jonas-Gleichung berechnet werden. Dabei muss die Konzentration der einzige variierte Parameter sein, d.h.: das Material und die Versuchbedingungen sollten bei den unterschiedlichen Konzentrationen identisch sein.</t>
  </si>
  <si>
    <t>Berechnung von Durchbruchskurvenabschnitten mit Hilfe der Yoon-Nelson-Gleichung:</t>
  </si>
  <si>
    <r>
      <t xml:space="preserve">1). Eingabe der allgemeinen bzw. der betrieblichen Parameter (Druck, Temperatur und </t>
    </r>
    <r>
      <rPr>
        <b/>
        <u/>
        <sz val="11"/>
        <rFont val="Calibri"/>
        <family val="2"/>
        <scheme val="minor"/>
      </rPr>
      <t>Nenn</t>
    </r>
    <r>
      <rPr>
        <sz val="11"/>
        <rFont val="Calibri"/>
        <family val="2"/>
        <scheme val="minor"/>
      </rPr>
      <t>volumenstrom). Entsprechende Einheiten sind zu beachten.</t>
    </r>
  </si>
  <si>
    <t>3). Eingabe der Eintrittskonzentrationen bei den Messungen und der gewünschten weitergeführten Durchbruchskurve.</t>
  </si>
  <si>
    <t>Aus den berechneten k*-Werten (graue Felder) bei jeweiliger Konzentration wird der Mittelwert gebildet.  Mit diesen Mittelwerten und der experimentell bestimmten Zeitens t_s werden die weiteren Durchbruchskurvenverläufe bei der jeweiligen Konzentration berechnet.</t>
  </si>
  <si>
    <t>Im Folgenden wird  die Vorgehensweise zur Berechnung der Parameter in den jeweiligen Tabellenblättern in kurzer Form beschrieben. Detaillierte Beschreibungen sind im Schlussbericht des Vorhabens zu finden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</si>
</sst>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92D050"/>
      </bottom>
      <diagonal/>
    </border>
    <border>
      <left/>
      <right style="thick">
        <color rgb="FF92D050"/>
      </right>
      <top/>
      <bottom/>
      <diagonal/>
    </border>
    <border>
      <left style="thick">
        <color rgb="FF92D050"/>
      </left>
      <right style="thick">
        <color rgb="FF92D050"/>
      </right>
      <top style="thick">
        <color rgb="FF92D050"/>
      </top>
      <bottom style="thick">
        <color rgb="FF92D050"/>
      </bottom>
      <diagonal/>
    </border>
    <border>
      <left/>
      <right/>
      <top style="thick">
        <color rgb="FF92D050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theme="1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0" fillId="0" borderId="2" xfId="0" applyBorder="1"/>
    <xf numFmtId="0" fontId="1" fillId="0" borderId="2" xfId="0" applyFont="1" applyBorder="1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2" borderId="0" xfId="0" applyFill="1"/>
    <xf numFmtId="0" fontId="1" fillId="2" borderId="2" xfId="0" applyFont="1" applyFill="1" applyBorder="1"/>
    <xf numFmtId="0" fontId="0" fillId="2" borderId="2" xfId="0" applyFill="1" applyBorder="1"/>
    <xf numFmtId="0" fontId="0" fillId="3" borderId="0" xfId="0" applyFill="1"/>
    <xf numFmtId="0" fontId="1" fillId="3" borderId="0" xfId="0" applyFont="1" applyFill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/>
    <xf numFmtId="0" fontId="0" fillId="0" borderId="7" xfId="0" applyBorder="1"/>
    <xf numFmtId="0" fontId="0" fillId="2" borderId="8" xfId="0" applyFill="1" applyBorder="1"/>
    <xf numFmtId="0" fontId="0" fillId="0" borderId="3" xfId="0" applyBorder="1"/>
    <xf numFmtId="0" fontId="0" fillId="2" borderId="9" xfId="0" applyFill="1" applyBorder="1"/>
    <xf numFmtId="0" fontId="0" fillId="0" borderId="9" xfId="0" applyBorder="1"/>
    <xf numFmtId="0" fontId="0" fillId="2" borderId="4" xfId="0" applyFill="1" applyBorder="1"/>
    <xf numFmtId="0" fontId="0" fillId="0" borderId="10" xfId="0" applyBorder="1"/>
    <xf numFmtId="0" fontId="0" fillId="0" borderId="8" xfId="0" applyBorder="1"/>
    <xf numFmtId="0" fontId="0" fillId="3" borderId="6" xfId="0" applyFill="1" applyBorder="1"/>
    <xf numFmtId="0" fontId="0" fillId="3" borderId="10" xfId="0" applyFill="1" applyBorder="1"/>
    <xf numFmtId="0" fontId="0" fillId="3" borderId="2" xfId="0" applyFill="1" applyBorder="1"/>
    <xf numFmtId="0" fontId="1" fillId="3" borderId="1" xfId="0" applyFont="1" applyFill="1" applyBorder="1"/>
    <xf numFmtId="0" fontId="1" fillId="0" borderId="10" xfId="0" applyFont="1" applyBorder="1"/>
    <xf numFmtId="0" fontId="0" fillId="0" borderId="0" xfId="0" applyAlignment="1">
      <alignment horizontal="right"/>
    </xf>
    <xf numFmtId="0" fontId="3" fillId="0" borderId="0" xfId="0" applyFont="1"/>
    <xf numFmtId="0" fontId="0" fillId="2" borderId="0" xfId="0" applyFont="1" applyFill="1"/>
    <xf numFmtId="0" fontId="2" fillId="0" borderId="0" xfId="0" applyFo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Font="1" applyBorder="1"/>
    <xf numFmtId="0" fontId="0" fillId="0" borderId="14" xfId="0" applyFont="1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4" fillId="0" borderId="2" xfId="0" applyFont="1" applyBorder="1"/>
    <xf numFmtId="0" fontId="0" fillId="3" borderId="8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1" xfId="0" applyBorder="1"/>
    <xf numFmtId="0" fontId="0" fillId="0" borderId="0" xfId="0" applyFill="1" applyBorder="1"/>
    <xf numFmtId="0" fontId="0" fillId="0" borderId="23" xfId="0" applyBorder="1"/>
    <xf numFmtId="0" fontId="0" fillId="0" borderId="24" xfId="0" applyBorder="1"/>
    <xf numFmtId="0" fontId="7" fillId="0" borderId="0" xfId="0" applyFont="1"/>
    <xf numFmtId="0" fontId="8" fillId="0" borderId="0" xfId="0" applyFont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Isotherme</a:t>
            </a:r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13957648148148163"/>
          <c:y val="0.17171296296296304"/>
          <c:w val="0.78147851851851902"/>
          <c:h val="0.72088764946048445"/>
        </c:manualLayout>
      </c:layout>
      <c:scatterChart>
        <c:scatterStyle val="lineMarker"/>
        <c:ser>
          <c:idx val="0"/>
          <c:order val="0"/>
          <c:tx>
            <c:v>Messdatenpunkte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name>Freundlich-Anpassung</c:name>
            <c:spPr>
              <a:ln w="19050" cap="rnd">
                <a:solidFill>
                  <a:schemeClr val="tx1"/>
                </a:solidFill>
                <a:prstDash val="dash"/>
              </a:ln>
              <a:effectLst/>
            </c:spPr>
            <c:trendlineType val="power"/>
            <c:forward val="50"/>
            <c:backward val="50"/>
            <c:dispRSqr val="1"/>
            <c:dispEq val="1"/>
            <c:trendlineLbl>
              <c:layout>
                <c:manualLayout>
                  <c:x val="1.88040244969379E-2"/>
                  <c:y val="0.136133712452610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'Isotherme für Wheeler-Jonas'!$C$20:$C$22</c:f>
              <c:numCache>
                <c:formatCode>General</c:formatCode>
                <c:ptCount val="3"/>
                <c:pt idx="0">
                  <c:v>34.117594690355276</c:v>
                </c:pt>
                <c:pt idx="1">
                  <c:v>151.63375417935677</c:v>
                </c:pt>
                <c:pt idx="2">
                  <c:v>341.17594690355276</c:v>
                </c:pt>
              </c:numCache>
            </c:numRef>
          </c:xVal>
          <c:yVal>
            <c:numRef>
              <c:f>'Isotherme für Wheeler-Jonas'!$E$20:$E$22</c:f>
              <c:numCache>
                <c:formatCode>General</c:formatCode>
                <c:ptCount val="3"/>
                <c:pt idx="0">
                  <c:v>0.20250000000000001</c:v>
                </c:pt>
                <c:pt idx="1">
                  <c:v>0.28125</c:v>
                </c:pt>
                <c:pt idx="2">
                  <c:v>0.33937499999999998</c:v>
                </c:pt>
              </c:numCache>
            </c:numRef>
          </c:yVal>
        </c:ser>
        <c:axId val="108529152"/>
        <c:axId val="108531072"/>
      </c:scatterChart>
      <c:valAx>
        <c:axId val="108529152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c</a:t>
                </a:r>
                <a:r>
                  <a:rPr lang="de-DE" baseline="-25000"/>
                  <a:t>ein</a:t>
                </a:r>
                <a:r>
                  <a:rPr lang="de-DE"/>
                  <a:t> / mg/m³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531072"/>
        <c:crosses val="autoZero"/>
        <c:crossBetween val="midCat"/>
      </c:valAx>
      <c:valAx>
        <c:axId val="10853107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X</a:t>
                </a:r>
                <a:r>
                  <a:rPr lang="de-DE" baseline="-25000"/>
                  <a:t>GGW</a:t>
                </a:r>
                <a:r>
                  <a:rPr lang="de-DE" baseline="0"/>
                  <a:t> / mg Toluol/mg AK </a:t>
                </a:r>
                <a:endParaRPr lang="de-DE"/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52915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4838823272090986"/>
          <c:y val="0.63504556722076444"/>
          <c:w val="0.2788831481481483"/>
          <c:h val="0.13190481685784849"/>
        </c:manualLayout>
      </c:layout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plotArea>
      <c:layout/>
      <c:scatterChart>
        <c:scatterStyle val="lineMarker"/>
        <c:ser>
          <c:idx val="0"/>
          <c:order val="0"/>
          <c:tx>
            <c:v>Konzentrationsabhängigkeit k_v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forward val="30"/>
            <c:backward val="30"/>
            <c:dispRSqr val="1"/>
            <c:dispEq val="1"/>
            <c:trendlineLbl>
              <c:layout>
                <c:manualLayout>
                  <c:x val="7.9047244094488184E-2"/>
                  <c:y val="0.1808391659375912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'Wheeler-Jonas'!$B$30:$B$32</c:f>
              <c:numCache>
                <c:formatCode>General</c:formatCode>
                <c:ptCount val="3"/>
                <c:pt idx="0">
                  <c:v>341.17594690355276</c:v>
                </c:pt>
                <c:pt idx="1">
                  <c:v>151.63375417935677</c:v>
                </c:pt>
                <c:pt idx="2">
                  <c:v>34.117594690355276</c:v>
                </c:pt>
              </c:numCache>
            </c:numRef>
          </c:xVal>
          <c:yVal>
            <c:numRef>
              <c:f>'Wheeler-Jonas'!$C$30:$C$32</c:f>
              <c:numCache>
                <c:formatCode>General</c:formatCode>
                <c:ptCount val="3"/>
                <c:pt idx="0">
                  <c:v>6252.3373559648098</c:v>
                </c:pt>
                <c:pt idx="1">
                  <c:v>4102.2909552317014</c:v>
                </c:pt>
                <c:pt idx="2">
                  <c:v>3144.6045850526239</c:v>
                </c:pt>
              </c:numCache>
            </c:numRef>
          </c:yVal>
        </c:ser>
        <c:axId val="109744896"/>
        <c:axId val="109746816"/>
      </c:scatterChart>
      <c:valAx>
        <c:axId val="109744896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c</a:t>
                </a:r>
                <a:r>
                  <a:rPr lang="de-DE" baseline="-25000"/>
                  <a:t>ein</a:t>
                </a:r>
                <a:r>
                  <a:rPr lang="de-DE" baseline="0"/>
                  <a:t> / mg/m³</a:t>
                </a:r>
                <a:endParaRPr lang="de-DE"/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46816"/>
        <c:crosses val="autoZero"/>
        <c:crossBetween val="midCat"/>
      </c:valAx>
      <c:valAx>
        <c:axId val="10974681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k_v</a:t>
                </a:r>
                <a:r>
                  <a:rPr lang="de-DE" baseline="0"/>
                  <a:t> / 1/min</a:t>
                </a:r>
                <a:endParaRPr lang="de-DE"/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4489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+mn-lt"/>
        </a:defRPr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plotArea>
      <c:layout/>
      <c:scatterChart>
        <c:scatterStyle val="smoothMarker"/>
        <c:ser>
          <c:idx val="0"/>
          <c:order val="0"/>
          <c:tx>
            <c:v>Berechnete Durchbruchkurve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'Wheeler-Jonas'!$L$30:$L$53</c:f>
              <c:numCache>
                <c:formatCode>General</c:formatCode>
                <c:ptCount val="24"/>
                <c:pt idx="0">
                  <c:v>-6460.4487907915718</c:v>
                </c:pt>
                <c:pt idx="1">
                  <c:v>-3791.7543113976553</c:v>
                </c:pt>
                <c:pt idx="2">
                  <c:v>-1886.1061170152907</c:v>
                </c:pt>
                <c:pt idx="3">
                  <c:v>-1023.4755500122919</c:v>
                </c:pt>
                <c:pt idx="4">
                  <c:v>-489.39431433276172</c:v>
                </c:pt>
                <c:pt idx="5">
                  <c:v>-87.287502109139041</c:v>
                </c:pt>
                <c:pt idx="6">
                  <c:v>51.972915312749819</c:v>
                </c:pt>
                <c:pt idx="7">
                  <c:v>244.83049329864252</c:v>
                </c:pt>
                <c:pt idx="8">
                  <c:v>534.96342868236275</c:v>
                </c:pt>
                <c:pt idx="9">
                  <c:v>798.47934847646832</c:v>
                </c:pt>
                <c:pt idx="10">
                  <c:v>1045.0425126580008</c:v>
                </c:pt>
                <c:pt idx="11">
                  <c:v>1281.4698618460814</c:v>
                </c:pt>
                <c:pt idx="12">
                  <c:v>1513.136536609577</c:v>
                </c:pt>
                <c:pt idx="13">
                  <c:v>1744.8032113730728</c:v>
                </c:pt>
                <c:pt idx="14">
                  <c:v>1981.2305605611532</c:v>
                </c:pt>
                <c:pt idx="15">
                  <c:v>2227.7937247426853</c:v>
                </c:pt>
                <c:pt idx="16">
                  <c:v>2491.309644536791</c:v>
                </c:pt>
                <c:pt idx="17">
                  <c:v>2781.4425799205114</c:v>
                </c:pt>
                <c:pt idx="18">
                  <c:v>3113.5605753282935</c:v>
                </c:pt>
                <c:pt idx="19">
                  <c:v>3515.6673875519155</c:v>
                </c:pt>
                <c:pt idx="20">
                  <c:v>4049.7486232314459</c:v>
                </c:pt>
                <c:pt idx="21">
                  <c:v>4912.3791902344437</c:v>
                </c:pt>
                <c:pt idx="22">
                  <c:v>6818.0273846168084</c:v>
                </c:pt>
                <c:pt idx="23">
                  <c:v>9486.7218640108531</c:v>
                </c:pt>
              </c:numCache>
            </c:numRef>
          </c:xVal>
          <c:yVal>
            <c:numRef>
              <c:f>'Wheeler-Jonas'!$K$30:$K$53</c:f>
              <c:numCache>
                <c:formatCode>General</c:formatCode>
                <c:ptCount val="24"/>
                <c:pt idx="0">
                  <c:v>0.1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22</c:v>
                </c:pt>
                <c:pt idx="7">
                  <c:v>25</c:v>
                </c:pt>
                <c:pt idx="8">
                  <c:v>30</c:v>
                </c:pt>
                <c:pt idx="9">
                  <c:v>35</c:v>
                </c:pt>
                <c:pt idx="10">
                  <c:v>40</c:v>
                </c:pt>
                <c:pt idx="11">
                  <c:v>45</c:v>
                </c:pt>
                <c:pt idx="12">
                  <c:v>50</c:v>
                </c:pt>
                <c:pt idx="13">
                  <c:v>55</c:v>
                </c:pt>
                <c:pt idx="14">
                  <c:v>60</c:v>
                </c:pt>
                <c:pt idx="15">
                  <c:v>65</c:v>
                </c:pt>
                <c:pt idx="16">
                  <c:v>70</c:v>
                </c:pt>
                <c:pt idx="17">
                  <c:v>75</c:v>
                </c:pt>
                <c:pt idx="18">
                  <c:v>80</c:v>
                </c:pt>
                <c:pt idx="19">
                  <c:v>85</c:v>
                </c:pt>
                <c:pt idx="20">
                  <c:v>90</c:v>
                </c:pt>
                <c:pt idx="21">
                  <c:v>95</c:v>
                </c:pt>
                <c:pt idx="22">
                  <c:v>99</c:v>
                </c:pt>
                <c:pt idx="23">
                  <c:v>99.9</c:v>
                </c:pt>
              </c:numCache>
            </c:numRef>
          </c:yVal>
          <c:smooth val="1"/>
        </c:ser>
        <c:axId val="109595648"/>
        <c:axId val="109601920"/>
      </c:scatterChart>
      <c:valAx>
        <c:axId val="109595648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/ min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601920"/>
        <c:crosses val="autoZero"/>
        <c:crossBetween val="midCat"/>
      </c:valAx>
      <c:valAx>
        <c:axId val="109601920"/>
        <c:scaling>
          <c:orientation val="minMax"/>
          <c:max val="110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DB c</a:t>
                </a:r>
                <a:r>
                  <a:rPr lang="de-DE" baseline="-25000"/>
                  <a:t>aus</a:t>
                </a:r>
                <a:r>
                  <a:rPr lang="de-DE"/>
                  <a:t>/c</a:t>
                </a:r>
                <a:r>
                  <a:rPr lang="de-DE" baseline="-25000"/>
                  <a:t>ein</a:t>
                </a:r>
                <a:r>
                  <a:rPr lang="de-DE"/>
                  <a:t> / %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59564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</a:defRPr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plotArea>
      <c:layout/>
      <c:scatterChart>
        <c:scatterStyle val="smoothMarker"/>
        <c:ser>
          <c:idx val="0"/>
          <c:order val="0"/>
          <c:tx>
            <c:v>Berechnete Durchbruchkurve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'Wheeler-Jonas'!$L$30:$L$53</c:f>
              <c:numCache>
                <c:formatCode>General</c:formatCode>
                <c:ptCount val="24"/>
                <c:pt idx="0">
                  <c:v>-6460.4487907915718</c:v>
                </c:pt>
                <c:pt idx="1">
                  <c:v>-3791.7543113976553</c:v>
                </c:pt>
                <c:pt idx="2">
                  <c:v>-1886.1061170152907</c:v>
                </c:pt>
                <c:pt idx="3">
                  <c:v>-1023.4755500122919</c:v>
                </c:pt>
                <c:pt idx="4">
                  <c:v>-489.39431433276172</c:v>
                </c:pt>
                <c:pt idx="5">
                  <c:v>-87.287502109139041</c:v>
                </c:pt>
                <c:pt idx="6">
                  <c:v>51.972915312749819</c:v>
                </c:pt>
                <c:pt idx="7">
                  <c:v>244.83049329864252</c:v>
                </c:pt>
                <c:pt idx="8">
                  <c:v>534.96342868236275</c:v>
                </c:pt>
                <c:pt idx="9">
                  <c:v>798.47934847646832</c:v>
                </c:pt>
                <c:pt idx="10">
                  <c:v>1045.0425126580008</c:v>
                </c:pt>
                <c:pt idx="11">
                  <c:v>1281.4698618460814</c:v>
                </c:pt>
                <c:pt idx="12">
                  <c:v>1513.136536609577</c:v>
                </c:pt>
                <c:pt idx="13">
                  <c:v>1744.8032113730728</c:v>
                </c:pt>
                <c:pt idx="14">
                  <c:v>1981.2305605611532</c:v>
                </c:pt>
                <c:pt idx="15">
                  <c:v>2227.7937247426853</c:v>
                </c:pt>
                <c:pt idx="16">
                  <c:v>2491.309644536791</c:v>
                </c:pt>
                <c:pt idx="17">
                  <c:v>2781.4425799205114</c:v>
                </c:pt>
                <c:pt idx="18">
                  <c:v>3113.5605753282935</c:v>
                </c:pt>
                <c:pt idx="19">
                  <c:v>3515.6673875519155</c:v>
                </c:pt>
                <c:pt idx="20">
                  <c:v>4049.7486232314459</c:v>
                </c:pt>
                <c:pt idx="21">
                  <c:v>4912.3791902344437</c:v>
                </c:pt>
                <c:pt idx="22">
                  <c:v>6818.0273846168084</c:v>
                </c:pt>
                <c:pt idx="23">
                  <c:v>9486.7218640108531</c:v>
                </c:pt>
              </c:numCache>
            </c:numRef>
          </c:xVal>
          <c:yVal>
            <c:numRef>
              <c:f>'Wheeler-Jonas'!$K$30:$K$53</c:f>
              <c:numCache>
                <c:formatCode>General</c:formatCode>
                <c:ptCount val="24"/>
                <c:pt idx="0">
                  <c:v>0.1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22</c:v>
                </c:pt>
                <c:pt idx="7">
                  <c:v>25</c:v>
                </c:pt>
                <c:pt idx="8">
                  <c:v>30</c:v>
                </c:pt>
                <c:pt idx="9">
                  <c:v>35</c:v>
                </c:pt>
                <c:pt idx="10">
                  <c:v>40</c:v>
                </c:pt>
                <c:pt idx="11">
                  <c:v>45</c:v>
                </c:pt>
                <c:pt idx="12">
                  <c:v>50</c:v>
                </c:pt>
                <c:pt idx="13">
                  <c:v>55</c:v>
                </c:pt>
                <c:pt idx="14">
                  <c:v>60</c:v>
                </c:pt>
                <c:pt idx="15">
                  <c:v>65</c:v>
                </c:pt>
                <c:pt idx="16">
                  <c:v>70</c:v>
                </c:pt>
                <c:pt idx="17">
                  <c:v>75</c:v>
                </c:pt>
                <c:pt idx="18">
                  <c:v>80</c:v>
                </c:pt>
                <c:pt idx="19">
                  <c:v>85</c:v>
                </c:pt>
                <c:pt idx="20">
                  <c:v>90</c:v>
                </c:pt>
                <c:pt idx="21">
                  <c:v>95</c:v>
                </c:pt>
                <c:pt idx="22">
                  <c:v>99</c:v>
                </c:pt>
                <c:pt idx="23">
                  <c:v>99.9</c:v>
                </c:pt>
              </c:numCache>
            </c:numRef>
          </c:yVal>
          <c:smooth val="1"/>
        </c:ser>
        <c:axId val="109990656"/>
        <c:axId val="109992576"/>
      </c:scatterChart>
      <c:valAx>
        <c:axId val="109990656"/>
        <c:scaling>
          <c:orientation val="minMax"/>
          <c:min val="0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400"/>
                  <a:t>Zeit</a:t>
                </a:r>
                <a:r>
                  <a:rPr lang="de-DE" sz="1400" baseline="0"/>
                  <a:t> / min</a:t>
                </a:r>
                <a:endParaRPr lang="de-DE" sz="1400"/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92576"/>
        <c:crosses val="autoZero"/>
        <c:crossBetween val="midCat"/>
      </c:valAx>
      <c:valAx>
        <c:axId val="109992576"/>
        <c:scaling>
          <c:orientation val="minMax"/>
          <c:max val="110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400" b="0" i="0" baseline="0">
                    <a:effectLst/>
                  </a:rPr>
                  <a:t>DB c</a:t>
                </a:r>
                <a:r>
                  <a:rPr lang="de-DE" sz="1400" b="0" i="0" baseline="-25000">
                    <a:effectLst/>
                  </a:rPr>
                  <a:t>aus</a:t>
                </a:r>
                <a:r>
                  <a:rPr lang="de-DE" sz="1400" b="0" i="0" baseline="0">
                    <a:effectLst/>
                  </a:rPr>
                  <a:t>/c</a:t>
                </a:r>
                <a:r>
                  <a:rPr lang="de-DE" sz="1400" b="0" i="0" baseline="-25000">
                    <a:effectLst/>
                  </a:rPr>
                  <a:t>ein</a:t>
                </a:r>
                <a:r>
                  <a:rPr lang="de-DE" sz="1400" b="0" i="0" baseline="0">
                    <a:effectLst/>
                  </a:rPr>
                  <a:t> / %</a:t>
                </a:r>
                <a:endParaRPr lang="de-DE" sz="14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 sz="1400"/>
              </a:p>
            </c:rich>
          </c:tx>
          <c:layout>
            <c:manualLayout>
              <c:xMode val="edge"/>
              <c:yMode val="edge"/>
              <c:x val="5.5555555555555518E-2"/>
              <c:y val="0.32717993584135341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9065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Mit Yoon-Nelson-Gleichung</a:t>
            </a:r>
            <a:r>
              <a:rPr lang="de-DE" baseline="0"/>
              <a:t> berechnete Durchbruchskurvenabschnitte</a:t>
            </a:r>
            <a:endParaRPr lang="de-DE"/>
          </a:p>
        </c:rich>
      </c:tx>
      <c:spPr>
        <a:noFill/>
        <a:ln>
          <a:noFill/>
        </a:ln>
        <a:effectLst/>
      </c:spPr>
    </c:title>
    <c:plotArea>
      <c:layout/>
      <c:scatterChart>
        <c:scatterStyle val="smoothMarker"/>
        <c:ser>
          <c:idx val="0"/>
          <c:order val="0"/>
          <c:tx>
            <c:strRef>
              <c:f>'Yoon-Nelson'!$B$12</c:f>
              <c:strCache>
                <c:ptCount val="1"/>
                <c:pt idx="0">
                  <c:v>90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'Yoon-Nelson'!$C$29:$C$40</c:f>
              <c:numCache>
                <c:formatCode>General</c:formatCode>
                <c:ptCount val="12"/>
                <c:pt idx="0">
                  <c:v>43.7</c:v>
                </c:pt>
                <c:pt idx="1">
                  <c:v>46.779180588582193</c:v>
                </c:pt>
                <c:pt idx="2">
                  <c:v>49.92163733154311</c:v>
                </c:pt>
                <c:pt idx="3">
                  <c:v>53.198813514877394</c:v>
                </c:pt>
                <c:pt idx="4">
                  <c:v>56.701316004028016</c:v>
                </c:pt>
                <c:pt idx="5">
                  <c:v>60.557596600509797</c:v>
                </c:pt>
                <c:pt idx="6">
                  <c:v>64.971918537933362</c:v>
                </c:pt>
                <c:pt idx="7">
                  <c:v>70.316491692443634</c:v>
                </c:pt>
                <c:pt idx="8">
                  <c:v>77.415193201019576</c:v>
                </c:pt>
                <c:pt idx="9">
                  <c:v>88.880784010508876</c:v>
                </c:pt>
                <c:pt idx="10">
                  <c:v>114.20956699062133</c:v>
                </c:pt>
                <c:pt idx="11">
                  <c:v>149.68032361194196</c:v>
                </c:pt>
              </c:numCache>
            </c:numRef>
          </c:xVal>
          <c:yVal>
            <c:numRef>
              <c:f>'Yoon-Nelson'!$B$29:$B$40</c:f>
              <c:numCache>
                <c:formatCode>General</c:formatCode>
                <c:ptCount val="12"/>
                <c:pt idx="0">
                  <c:v>50</c:v>
                </c:pt>
                <c:pt idx="1">
                  <c:v>55</c:v>
                </c:pt>
                <c:pt idx="2">
                  <c:v>60</c:v>
                </c:pt>
                <c:pt idx="3">
                  <c:v>65</c:v>
                </c:pt>
                <c:pt idx="4">
                  <c:v>70</c:v>
                </c:pt>
                <c:pt idx="5">
                  <c:v>75</c:v>
                </c:pt>
                <c:pt idx="6">
                  <c:v>80</c:v>
                </c:pt>
                <c:pt idx="7">
                  <c:v>85</c:v>
                </c:pt>
                <c:pt idx="8">
                  <c:v>90</c:v>
                </c:pt>
                <c:pt idx="9">
                  <c:v>95</c:v>
                </c:pt>
                <c:pt idx="10">
                  <c:v>99</c:v>
                </c:pt>
                <c:pt idx="11">
                  <c:v>99.9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'Yoon-Nelson'!$F$12</c:f>
              <c:strCache>
                <c:ptCount val="1"/>
                <c:pt idx="0">
                  <c:v>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'Yoon-Nelson'!$G$29:$G$40</c:f>
              <c:numCache>
                <c:formatCode>General</c:formatCode>
                <c:ptCount val="12"/>
                <c:pt idx="0">
                  <c:v>84.7</c:v>
                </c:pt>
                <c:pt idx="1">
                  <c:v>93.670502351169759</c:v>
                </c:pt>
                <c:pt idx="2">
                  <c:v>102.82534559281282</c:v>
                </c:pt>
                <c:pt idx="3">
                  <c:v>112.37266372245003</c:v>
                </c:pt>
                <c:pt idx="4">
                  <c:v>122.57641953021529</c:v>
                </c:pt>
                <c:pt idx="5">
                  <c:v>133.81082854337367</c:v>
                </c:pt>
                <c:pt idx="6">
                  <c:v>146.67096590112169</c:v>
                </c:pt>
                <c:pt idx="7">
                  <c:v>162.24118163523971</c:v>
                </c:pt>
                <c:pt idx="8">
                  <c:v>182.92165708674736</c:v>
                </c:pt>
                <c:pt idx="9">
                  <c:v>216.32408554302452</c:v>
                </c:pt>
                <c:pt idx="10">
                  <c:v>290.1138165246644</c:v>
                </c:pt>
                <c:pt idx="11">
                  <c:v>393.44991407256356</c:v>
                </c:pt>
              </c:numCache>
            </c:numRef>
          </c:xVal>
          <c:yVal>
            <c:numRef>
              <c:f>'Yoon-Nelson'!$F$29:$F$40</c:f>
              <c:numCache>
                <c:formatCode>General</c:formatCode>
                <c:ptCount val="12"/>
                <c:pt idx="0">
                  <c:v>50</c:v>
                </c:pt>
                <c:pt idx="1">
                  <c:v>55</c:v>
                </c:pt>
                <c:pt idx="2">
                  <c:v>60</c:v>
                </c:pt>
                <c:pt idx="3">
                  <c:v>65</c:v>
                </c:pt>
                <c:pt idx="4">
                  <c:v>70</c:v>
                </c:pt>
                <c:pt idx="5">
                  <c:v>75</c:v>
                </c:pt>
                <c:pt idx="6">
                  <c:v>80</c:v>
                </c:pt>
                <c:pt idx="7">
                  <c:v>85</c:v>
                </c:pt>
                <c:pt idx="8">
                  <c:v>90</c:v>
                </c:pt>
                <c:pt idx="9">
                  <c:v>95</c:v>
                </c:pt>
                <c:pt idx="10">
                  <c:v>99</c:v>
                </c:pt>
                <c:pt idx="11">
                  <c:v>99.9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'Yoon-Nelson'!$J$12</c:f>
              <c:strCache>
                <c:ptCount val="1"/>
                <c:pt idx="0">
                  <c:v>9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'Yoon-Nelson'!$K$29:$K$40</c:f>
              <c:numCache>
                <c:formatCode>General</c:formatCode>
                <c:ptCount val="12"/>
                <c:pt idx="0">
                  <c:v>301.3</c:v>
                </c:pt>
                <c:pt idx="1">
                  <c:v>341.30020344163802</c:v>
                </c:pt>
                <c:pt idx="2">
                  <c:v>382.12239798621385</c:v>
                </c:pt>
                <c:pt idx="3">
                  <c:v>424.69467014639315</c:v>
                </c:pt>
                <c:pt idx="4">
                  <c:v>470.19405158584868</c:v>
                </c:pt>
                <c:pt idx="5">
                  <c:v>520.28919993774753</c:v>
                </c:pt>
                <c:pt idx="6">
                  <c:v>577.63360390306741</c:v>
                </c:pt>
                <c:pt idx="7">
                  <c:v>647.06246893354114</c:v>
                </c:pt>
                <c:pt idx="8">
                  <c:v>739.2783998754951</c:v>
                </c:pt>
                <c:pt idx="9">
                  <c:v>888.22255945443067</c:v>
                </c:pt>
                <c:pt idx="10">
                  <c:v>1217.257003192628</c:v>
                </c:pt>
                <c:pt idx="11">
                  <c:v>1678.0411112578704</c:v>
                </c:pt>
              </c:numCache>
            </c:numRef>
          </c:xVal>
          <c:yVal>
            <c:numRef>
              <c:f>'Yoon-Nelson'!$J$29:$J$40</c:f>
              <c:numCache>
                <c:formatCode>General</c:formatCode>
                <c:ptCount val="12"/>
                <c:pt idx="0">
                  <c:v>50</c:v>
                </c:pt>
                <c:pt idx="1">
                  <c:v>55</c:v>
                </c:pt>
                <c:pt idx="2">
                  <c:v>60</c:v>
                </c:pt>
                <c:pt idx="3">
                  <c:v>65</c:v>
                </c:pt>
                <c:pt idx="4">
                  <c:v>70</c:v>
                </c:pt>
                <c:pt idx="5">
                  <c:v>75</c:v>
                </c:pt>
                <c:pt idx="6">
                  <c:v>80</c:v>
                </c:pt>
                <c:pt idx="7">
                  <c:v>85</c:v>
                </c:pt>
                <c:pt idx="8">
                  <c:v>90</c:v>
                </c:pt>
                <c:pt idx="9">
                  <c:v>95</c:v>
                </c:pt>
                <c:pt idx="10">
                  <c:v>99</c:v>
                </c:pt>
                <c:pt idx="11">
                  <c:v>99.9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'Yoon-Nelson'!$N$12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'Yoon-Nelson'!$O$29:$O$40</c:f>
              <c:numCache>
                <c:formatCode>General</c:formatCode>
                <c:ptCount val="12"/>
                <c:pt idx="0">
                  <c:v>1252.67</c:v>
                </c:pt>
                <c:pt idx="1">
                  <c:v>1452.7924575180755</c:v>
                </c:pt>
                <c:pt idx="2">
                  <c:v>1657.0273661095041</c:v>
                </c:pt>
                <c:pt idx="3">
                  <c:v>1870.0179760011258</c:v>
                </c:pt>
                <c:pt idx="4">
                  <c:v>2097.653018970379</c:v>
                </c:pt>
                <c:pt idx="5">
                  <c:v>2348.2808492148356</c:v>
                </c:pt>
                <c:pt idx="6">
                  <c:v>2635.1769662106626</c:v>
                </c:pt>
                <c:pt idx="7">
                  <c:v>2982.5320768630754</c:v>
                </c:pt>
                <c:pt idx="8">
                  <c:v>3443.8916984296711</c:v>
                </c:pt>
                <c:pt idx="9">
                  <c:v>4189.0646896468461</c:v>
                </c:pt>
                <c:pt idx="10">
                  <c:v>5835.2358543774162</c:v>
                </c:pt>
                <c:pt idx="11">
                  <c:v>8140.5553317104195</c:v>
                </c:pt>
              </c:numCache>
            </c:numRef>
          </c:xVal>
          <c:yVal>
            <c:numRef>
              <c:f>'Yoon-Nelson'!$N$29:$N$40</c:f>
              <c:numCache>
                <c:formatCode>General</c:formatCode>
                <c:ptCount val="12"/>
                <c:pt idx="0">
                  <c:v>50</c:v>
                </c:pt>
                <c:pt idx="1">
                  <c:v>55</c:v>
                </c:pt>
                <c:pt idx="2">
                  <c:v>60</c:v>
                </c:pt>
                <c:pt idx="3">
                  <c:v>65</c:v>
                </c:pt>
                <c:pt idx="4">
                  <c:v>70</c:v>
                </c:pt>
                <c:pt idx="5">
                  <c:v>75</c:v>
                </c:pt>
                <c:pt idx="6">
                  <c:v>80</c:v>
                </c:pt>
                <c:pt idx="7">
                  <c:v>85</c:v>
                </c:pt>
                <c:pt idx="8">
                  <c:v>90</c:v>
                </c:pt>
                <c:pt idx="9">
                  <c:v>95</c:v>
                </c:pt>
                <c:pt idx="10">
                  <c:v>99</c:v>
                </c:pt>
                <c:pt idx="11">
                  <c:v>99.9</c:v>
                </c:pt>
              </c:numCache>
            </c:numRef>
          </c:yVal>
          <c:smooth val="1"/>
        </c:ser>
        <c:axId val="110317952"/>
        <c:axId val="110319872"/>
      </c:scatterChart>
      <c:valAx>
        <c:axId val="110317952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/ min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319872"/>
        <c:crosses val="autoZero"/>
        <c:crossBetween val="midCat"/>
      </c:valAx>
      <c:valAx>
        <c:axId val="110319872"/>
        <c:scaling>
          <c:orientation val="minMax"/>
          <c:max val="110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DB c</a:t>
                </a:r>
                <a:r>
                  <a:rPr lang="de-DE" baseline="-25000"/>
                  <a:t>aus</a:t>
                </a:r>
                <a:r>
                  <a:rPr lang="de-DE"/>
                  <a:t>/c</a:t>
                </a:r>
                <a:r>
                  <a:rPr lang="de-DE" baseline="-25000"/>
                  <a:t>ein</a:t>
                </a:r>
                <a:r>
                  <a:rPr lang="de-DE"/>
                  <a:t> / %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31795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</a:defRPr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161927</xdr:colOff>
      <xdr:row>28</xdr:row>
      <xdr:rowOff>66675</xdr:rowOff>
    </xdr:from>
    <xdr:to>
      <xdr:col>8</xdr:col>
      <xdr:colOff>471908</xdr:colOff>
      <xdr:row>46</xdr:row>
      <xdr:rowOff>161475</xdr:rowOff>
    </xdr:to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8611" r="833" b="7084"/>
        <a:stretch/>
      </xdr:blipFill>
      <xdr:spPr>
        <a:xfrm>
          <a:off x="161927" y="4829175"/>
          <a:ext cx="6405981" cy="3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61</xdr:row>
      <xdr:rowOff>95250</xdr:rowOff>
    </xdr:from>
    <xdr:to>
      <xdr:col>8</xdr:col>
      <xdr:colOff>208777</xdr:colOff>
      <xdr:row>76</xdr:row>
      <xdr:rowOff>117750</xdr:rowOff>
    </xdr:to>
    <xdr:pic>
      <xdr:nvPicPr>
        <xdr:cNvPr id="3" name="Grafik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959" t="30139" r="10105" b="16388"/>
        <a:stretch/>
      </xdr:blipFill>
      <xdr:spPr>
        <a:xfrm>
          <a:off x="133350" y="11220450"/>
          <a:ext cx="6171427" cy="28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24</xdr:row>
      <xdr:rowOff>119062</xdr:rowOff>
    </xdr:from>
    <xdr:to>
      <xdr:col>4</xdr:col>
      <xdr:colOff>1285200</xdr:colOff>
      <xdr:row>41</xdr:row>
      <xdr:rowOff>130087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28</xdr:row>
      <xdr:rowOff>14287</xdr:rowOff>
    </xdr:from>
    <xdr:to>
      <xdr:col>9</xdr:col>
      <xdr:colOff>123825</xdr:colOff>
      <xdr:row>42</xdr:row>
      <xdr:rowOff>90487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333375</xdr:colOff>
      <xdr:row>28</xdr:row>
      <xdr:rowOff>128587</xdr:rowOff>
    </xdr:from>
    <xdr:to>
      <xdr:col>21</xdr:col>
      <xdr:colOff>28575</xdr:colOff>
      <xdr:row>43</xdr:row>
      <xdr:rowOff>14287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342900</xdr:colOff>
      <xdr:row>43</xdr:row>
      <xdr:rowOff>47625</xdr:rowOff>
    </xdr:from>
    <xdr:to>
      <xdr:col>21</xdr:col>
      <xdr:colOff>38100</xdr:colOff>
      <xdr:row>57</xdr:row>
      <xdr:rowOff>123825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</xdr:colOff>
      <xdr:row>41</xdr:row>
      <xdr:rowOff>100011</xdr:rowOff>
    </xdr:from>
    <xdr:to>
      <xdr:col>13</xdr:col>
      <xdr:colOff>38099</xdr:colOff>
      <xdr:row>60</xdr:row>
      <xdr:rowOff>85725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6"/>
  <sheetViews>
    <sheetView tabSelected="1" zoomScale="120" zoomScaleNormal="120" workbookViewId="0"/>
  </sheetViews>
  <sheetFormatPr baseColWidth="10" defaultRowHeight="15"/>
  <sheetData>
    <row r="1" spans="1:1">
      <c r="A1" s="2" t="s">
        <v>49</v>
      </c>
    </row>
    <row r="3" spans="1:1">
      <c r="A3" s="2" t="s">
        <v>50</v>
      </c>
    </row>
    <row r="4" spans="1:1">
      <c r="A4" t="s">
        <v>51</v>
      </c>
    </row>
    <row r="5" spans="1:1" s="54" customFormat="1">
      <c r="A5" s="54" t="s">
        <v>74</v>
      </c>
    </row>
    <row r="6" spans="1:1" s="54" customFormat="1">
      <c r="A6" s="54" t="s">
        <v>75</v>
      </c>
    </row>
    <row r="7" spans="1:1" s="54" customFormat="1">
      <c r="A7" s="54" t="s">
        <v>76</v>
      </c>
    </row>
    <row r="9" spans="1:1">
      <c r="A9" t="s">
        <v>87</v>
      </c>
    </row>
    <row r="11" spans="1:1">
      <c r="A11" t="s">
        <v>52</v>
      </c>
    </row>
    <row r="12" spans="1:1">
      <c r="A12" t="s">
        <v>53</v>
      </c>
    </row>
    <row r="13" spans="1:1">
      <c r="A13" t="s">
        <v>55</v>
      </c>
    </row>
    <row r="16" spans="1:1" s="54" customFormat="1">
      <c r="A16" s="55" t="s">
        <v>77</v>
      </c>
    </row>
    <row r="17" spans="1:11">
      <c r="A17" t="s">
        <v>54</v>
      </c>
    </row>
    <row r="18" spans="1:11">
      <c r="A18" t="s">
        <v>56</v>
      </c>
    </row>
    <row r="19" spans="1:11" s="54" customFormat="1">
      <c r="A19" s="54" t="s">
        <v>81</v>
      </c>
    </row>
    <row r="20" spans="1:11" s="54" customFormat="1">
      <c r="A20" s="54" t="s">
        <v>80</v>
      </c>
    </row>
    <row r="22" spans="1:11" s="54" customFormat="1">
      <c r="A22" s="54" t="s">
        <v>79</v>
      </c>
    </row>
    <row r="25" spans="1:11" s="54" customFormat="1">
      <c r="A25" s="55" t="s">
        <v>78</v>
      </c>
    </row>
    <row r="26" spans="1:11" s="54" customFormat="1">
      <c r="A26" s="54" t="s">
        <v>82</v>
      </c>
    </row>
    <row r="27" spans="1:11" s="54" customFormat="1">
      <c r="A27" s="54" t="s">
        <v>69</v>
      </c>
    </row>
    <row r="28" spans="1:11" s="54" customFormat="1">
      <c r="A28" s="54" t="s">
        <v>70</v>
      </c>
    </row>
    <row r="30" spans="1:11" ht="15.75" thickBot="1">
      <c r="J30" s="45"/>
    </row>
    <row r="31" spans="1:11" ht="16.5" thickTop="1" thickBot="1">
      <c r="I31" s="46"/>
      <c r="J31" s="47"/>
      <c r="K31" t="s">
        <v>58</v>
      </c>
    </row>
    <row r="32" spans="1:11" ht="16.5" thickTop="1" thickBot="1">
      <c r="J32" s="48"/>
    </row>
    <row r="33" spans="9:11" ht="16.5" thickTop="1" thickBot="1">
      <c r="I33" s="50"/>
      <c r="J33" s="49"/>
      <c r="K33" t="s">
        <v>66</v>
      </c>
    </row>
    <row r="34" spans="9:11" ht="15.75" thickTop="1"/>
    <row r="49" spans="1:3">
      <c r="A49" t="s">
        <v>65</v>
      </c>
    </row>
    <row r="50" spans="1:3">
      <c r="A50" t="s">
        <v>57</v>
      </c>
    </row>
    <row r="51" spans="1:3">
      <c r="A51" t="s">
        <v>71</v>
      </c>
    </row>
    <row r="52" spans="1:3">
      <c r="A52" t="s">
        <v>59</v>
      </c>
    </row>
    <row r="53" spans="1:3">
      <c r="B53" t="s">
        <v>60</v>
      </c>
    </row>
    <row r="54" spans="1:3">
      <c r="B54" t="s">
        <v>61</v>
      </c>
    </row>
    <row r="55" spans="1:3">
      <c r="B55" t="s">
        <v>62</v>
      </c>
      <c r="C55" t="s">
        <v>72</v>
      </c>
    </row>
    <row r="56" spans="1:3">
      <c r="C56" s="2" t="s">
        <v>63</v>
      </c>
    </row>
    <row r="57" spans="1:3">
      <c r="A57" t="s">
        <v>64</v>
      </c>
    </row>
    <row r="60" spans="1:3" s="54" customFormat="1">
      <c r="A60" s="55" t="s">
        <v>83</v>
      </c>
    </row>
    <row r="61" spans="1:3" s="54" customFormat="1">
      <c r="A61" s="54" t="s">
        <v>73</v>
      </c>
    </row>
    <row r="79" spans="1:1" s="54" customFormat="1">
      <c r="A79" s="54" t="s">
        <v>84</v>
      </c>
    </row>
    <row r="80" spans="1:1" s="54" customFormat="1">
      <c r="A80" s="54" t="s">
        <v>57</v>
      </c>
    </row>
    <row r="81" spans="1:3" s="54" customFormat="1">
      <c r="A81" s="54" t="s">
        <v>85</v>
      </c>
    </row>
    <row r="82" spans="1:3" s="54" customFormat="1">
      <c r="A82" s="54" t="s">
        <v>59</v>
      </c>
    </row>
    <row r="83" spans="1:3" s="54" customFormat="1">
      <c r="B83" s="54" t="s">
        <v>60</v>
      </c>
    </row>
    <row r="84" spans="1:3" s="54" customFormat="1">
      <c r="B84" s="54" t="s">
        <v>67</v>
      </c>
    </row>
    <row r="85" spans="1:3" s="54" customFormat="1">
      <c r="B85" s="54" t="s">
        <v>62</v>
      </c>
      <c r="C85" s="54" t="s">
        <v>86</v>
      </c>
    </row>
    <row r="86" spans="1:3" s="54" customFormat="1">
      <c r="A86" s="54" t="s">
        <v>68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K26"/>
  <sheetViews>
    <sheetView workbookViewId="0">
      <selection activeCell="B24" sqref="B24"/>
    </sheetView>
  </sheetViews>
  <sheetFormatPr baseColWidth="10" defaultRowHeight="15"/>
  <cols>
    <col min="1" max="1" width="77.140625" bestFit="1" customWidth="1"/>
    <col min="2" max="2" width="19.42578125" bestFit="1" customWidth="1"/>
    <col min="3" max="3" width="21.5703125" bestFit="1" customWidth="1"/>
    <col min="4" max="4" width="40.5703125" bestFit="1" customWidth="1"/>
    <col min="5" max="5" width="42.42578125" bestFit="1" customWidth="1"/>
    <col min="7" max="7" width="20.42578125" bestFit="1" customWidth="1"/>
  </cols>
  <sheetData>
    <row r="1" spans="1:9">
      <c r="A1" t="s">
        <v>26</v>
      </c>
    </row>
    <row r="2" spans="1:9">
      <c r="A2" t="s">
        <v>29</v>
      </c>
    </row>
    <row r="3" spans="1:9" ht="15.75" thickBot="1"/>
    <row r="4" spans="1:9">
      <c r="A4" s="14" t="s">
        <v>44</v>
      </c>
      <c r="B4" s="23" t="s">
        <v>45</v>
      </c>
    </row>
    <row r="5" spans="1:9" ht="15.75" thickBot="1">
      <c r="A5" s="18"/>
      <c r="B5" s="44" t="s">
        <v>46</v>
      </c>
    </row>
    <row r="6" spans="1:9" ht="15.75" thickBot="1"/>
    <row r="7" spans="1:9">
      <c r="A7" s="14" t="s">
        <v>7</v>
      </c>
      <c r="B7" s="15"/>
    </row>
    <row r="8" spans="1:9">
      <c r="A8" s="16" t="s">
        <v>10</v>
      </c>
      <c r="B8" s="17">
        <v>160</v>
      </c>
    </row>
    <row r="9" spans="1:9">
      <c r="A9" s="16" t="s">
        <v>8</v>
      </c>
      <c r="B9" s="17">
        <v>0.01</v>
      </c>
    </row>
    <row r="10" spans="1:9">
      <c r="A10" s="16" t="s">
        <v>9</v>
      </c>
      <c r="B10" s="26">
        <f>B8*B9*1000</f>
        <v>1600</v>
      </c>
    </row>
    <row r="11" spans="1:9" ht="15.75" thickBot="1">
      <c r="A11" s="18" t="s">
        <v>12</v>
      </c>
      <c r="B11" s="19">
        <v>96969700</v>
      </c>
    </row>
    <row r="14" spans="1:9" ht="15.75" thickBot="1">
      <c r="A14" s="2" t="s">
        <v>28</v>
      </c>
    </row>
    <row r="15" spans="1:9">
      <c r="A15" s="20" t="s">
        <v>1</v>
      </c>
      <c r="B15" s="21">
        <v>23</v>
      </c>
      <c r="C15" s="22"/>
      <c r="D15" s="22" t="s">
        <v>3</v>
      </c>
      <c r="E15" s="21">
        <v>1013</v>
      </c>
      <c r="F15" s="22"/>
      <c r="G15" s="22" t="s">
        <v>4</v>
      </c>
      <c r="H15" s="21">
        <v>92.14</v>
      </c>
      <c r="I15" s="15" t="s">
        <v>5</v>
      </c>
    </row>
    <row r="16" spans="1:9" ht="15.75" thickBot="1">
      <c r="A16" s="18" t="s">
        <v>2</v>
      </c>
      <c r="B16" s="27">
        <f>273.15+B15</f>
        <v>296.14999999999998</v>
      </c>
      <c r="C16" s="24"/>
      <c r="D16" s="24"/>
      <c r="E16" s="24"/>
      <c r="F16" s="24"/>
      <c r="G16" s="24"/>
      <c r="H16" s="24"/>
      <c r="I16" s="25"/>
    </row>
    <row r="18" spans="1:11">
      <c r="D18" t="s">
        <v>27</v>
      </c>
    </row>
    <row r="19" spans="1:11" ht="15.75" thickBot="1">
      <c r="B19" s="30" t="s">
        <v>0</v>
      </c>
      <c r="C19" s="30" t="s">
        <v>6</v>
      </c>
      <c r="D19" s="30" t="s">
        <v>43</v>
      </c>
      <c r="E19" s="30" t="s">
        <v>35</v>
      </c>
    </row>
    <row r="20" spans="1:11">
      <c r="B20" s="9">
        <v>9</v>
      </c>
      <c r="C20" s="12">
        <f>0.1*$H$15*$E$15*$B20/8.314/$B$16</f>
        <v>34.117594690355276</v>
      </c>
      <c r="D20" s="9">
        <v>324</v>
      </c>
      <c r="E20" s="12">
        <f>$D20/$B$10</f>
        <v>0.20250000000000001</v>
      </c>
    </row>
    <row r="21" spans="1:11">
      <c r="B21" s="9">
        <v>40</v>
      </c>
      <c r="C21" s="12">
        <f>0.1*$H$15*$E$15*$B21/8.314/$B$16</f>
        <v>151.63375417935677</v>
      </c>
      <c r="D21" s="9">
        <v>450</v>
      </c>
      <c r="E21" s="12">
        <f>$D21/$B$10</f>
        <v>0.28125</v>
      </c>
    </row>
    <row r="22" spans="1:11" ht="15.75" thickBot="1">
      <c r="B22" s="9">
        <v>90</v>
      </c>
      <c r="C22" s="12">
        <f>0.1*$H$15*$E$15*$B22/8.314/$B$16</f>
        <v>341.17594690355276</v>
      </c>
      <c r="D22" s="9">
        <v>543</v>
      </c>
      <c r="E22" s="12">
        <f>$D22/$B$10</f>
        <v>0.33937499999999998</v>
      </c>
    </row>
    <row r="23" spans="1:11">
      <c r="I23" s="20" t="s">
        <v>30</v>
      </c>
      <c r="J23" s="15">
        <f>INDEX(LOGEST(E20:E22, LN(C20:C22),,TRUE),1,2)</f>
        <v>9.1794771328804814E-2</v>
      </c>
      <c r="K23" t="s">
        <v>31</v>
      </c>
    </row>
    <row r="24" spans="1:11" ht="15.75" thickBot="1">
      <c r="A24" s="31" t="s">
        <v>48</v>
      </c>
      <c r="B24" s="9">
        <v>1</v>
      </c>
      <c r="C24" s="12">
        <f>0.1*$H$15*$E$15*$B24/8.314/$B$16</f>
        <v>3.7908438544839194</v>
      </c>
      <c r="D24" s="12">
        <f>E24*$B$10</f>
        <v>197.89421975765165</v>
      </c>
      <c r="E24" s="12">
        <f>J23*C24^J24</f>
        <v>0.12368388734853229</v>
      </c>
      <c r="F24" s="34" t="s">
        <v>34</v>
      </c>
      <c r="G24" s="32"/>
      <c r="H24" s="32"/>
      <c r="I24" s="18" t="s">
        <v>32</v>
      </c>
      <c r="J24" s="25">
        <f>LN(INDEX(LOGEST(E20:E22,LN(C20:C22),,TRUE),1,1))</f>
        <v>0.22375522773988338</v>
      </c>
      <c r="K24" s="16" t="s">
        <v>33</v>
      </c>
    </row>
    <row r="26" spans="1:11">
      <c r="K26" s="6"/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1"/>
  <dimension ref="A1:O53"/>
  <sheetViews>
    <sheetView workbookViewId="0">
      <selection activeCell="H16" sqref="H16"/>
    </sheetView>
  </sheetViews>
  <sheetFormatPr baseColWidth="10" defaultColWidth="9.140625" defaultRowHeight="15"/>
  <cols>
    <col min="1" max="1" width="38.7109375" bestFit="1" customWidth="1"/>
    <col min="3" max="3" width="17.7109375" bestFit="1" customWidth="1"/>
    <col min="4" max="4" width="12.28515625" bestFit="1" customWidth="1"/>
    <col min="5" max="5" width="12.140625" bestFit="1" customWidth="1"/>
    <col min="6" max="6" width="13.85546875" bestFit="1" customWidth="1"/>
    <col min="7" max="7" width="20.42578125" bestFit="1" customWidth="1"/>
    <col min="9" max="9" width="13.85546875" bestFit="1" customWidth="1"/>
    <col min="11" max="11" width="21.42578125" bestFit="1" customWidth="1"/>
    <col min="12" max="12" width="13.5703125" customWidth="1"/>
  </cols>
  <sheetData>
    <row r="1" spans="1:15">
      <c r="A1" s="20" t="s">
        <v>1</v>
      </c>
      <c r="B1" s="21">
        <v>23</v>
      </c>
      <c r="C1" s="22"/>
      <c r="D1" s="22" t="s">
        <v>3</v>
      </c>
      <c r="E1" s="21">
        <v>1013</v>
      </c>
      <c r="F1" s="22"/>
      <c r="G1" s="22" t="s">
        <v>4</v>
      </c>
      <c r="H1" s="21">
        <v>92.14</v>
      </c>
      <c r="I1" s="22" t="s">
        <v>5</v>
      </c>
      <c r="J1" s="22"/>
      <c r="K1" s="22" t="s">
        <v>13</v>
      </c>
      <c r="L1" s="23">
        <v>34.5</v>
      </c>
    </row>
    <row r="2" spans="1:15" ht="15.75" thickBot="1">
      <c r="A2" s="18" t="s">
        <v>2</v>
      </c>
      <c r="B2" s="27">
        <f>273.15+B1</f>
        <v>296.14999999999998</v>
      </c>
      <c r="C2" s="24"/>
      <c r="D2" s="24"/>
      <c r="E2" s="24"/>
      <c r="F2" s="24"/>
      <c r="G2" s="24"/>
      <c r="H2" s="24"/>
      <c r="I2" s="24"/>
      <c r="J2" s="24"/>
      <c r="K2" s="24"/>
      <c r="L2" s="25"/>
    </row>
    <row r="4" spans="1:15" ht="15.75" thickBot="1"/>
    <row r="5" spans="1:15">
      <c r="A5" s="14" t="s">
        <v>7</v>
      </c>
      <c r="B5" s="15"/>
      <c r="D5" s="14" t="s">
        <v>44</v>
      </c>
      <c r="E5" s="23" t="s">
        <v>45</v>
      </c>
    </row>
    <row r="6" spans="1:15" ht="15.75" thickBot="1">
      <c r="A6" s="16" t="s">
        <v>10</v>
      </c>
      <c r="B6" s="17">
        <v>160</v>
      </c>
      <c r="D6" s="18"/>
      <c r="E6" s="44" t="s">
        <v>46</v>
      </c>
    </row>
    <row r="7" spans="1:15">
      <c r="A7" s="16" t="s">
        <v>8</v>
      </c>
      <c r="B7" s="17">
        <v>0.01</v>
      </c>
    </row>
    <row r="8" spans="1:15">
      <c r="A8" s="16" t="s">
        <v>9</v>
      </c>
      <c r="B8" s="26">
        <v>1600</v>
      </c>
    </row>
    <row r="9" spans="1:15" ht="15.75" thickBot="1">
      <c r="A9" s="18" t="s">
        <v>12</v>
      </c>
      <c r="B9" s="19">
        <v>96969700</v>
      </c>
    </row>
    <row r="12" spans="1:15">
      <c r="A12" s="4" t="s">
        <v>20</v>
      </c>
      <c r="B12" s="10">
        <v>90</v>
      </c>
      <c r="C12" s="4"/>
      <c r="D12" s="4"/>
      <c r="E12" s="10">
        <v>40</v>
      </c>
      <c r="F12" s="4"/>
      <c r="G12" s="3"/>
      <c r="H12" s="10">
        <v>9</v>
      </c>
      <c r="I12" s="4"/>
      <c r="J12" s="4"/>
      <c r="K12" s="10">
        <v>1</v>
      </c>
      <c r="L12" s="3"/>
      <c r="M12" s="3"/>
    </row>
    <row r="13" spans="1:15">
      <c r="A13" t="s">
        <v>6</v>
      </c>
      <c r="B13" s="12">
        <f>0.1*H1*E1*B12/8.314/B2</f>
        <v>341.17594690355276</v>
      </c>
      <c r="E13" s="12">
        <f>0.1*H1*E1*E12/8.314/B2</f>
        <v>151.63375417935677</v>
      </c>
      <c r="H13" s="12">
        <f>0.1*H1*E1*H12/8.314/B2</f>
        <v>34.117594690355276</v>
      </c>
      <c r="K13" s="12">
        <f>0.1*H1*E1*K12/8.314/B2</f>
        <v>3.7908438544839194</v>
      </c>
    </row>
    <row r="15" spans="1:15">
      <c r="A15" s="2" t="s">
        <v>14</v>
      </c>
      <c r="N15" s="5"/>
      <c r="O15" s="5"/>
    </row>
    <row r="16" spans="1:15">
      <c r="A16" s="3" t="s">
        <v>11</v>
      </c>
      <c r="B16" s="11">
        <v>0.33900000000000002</v>
      </c>
      <c r="C16" s="3"/>
      <c r="D16" s="3"/>
      <c r="E16" s="11">
        <v>0.28129999999999999</v>
      </c>
      <c r="F16" s="3"/>
      <c r="G16" s="3"/>
      <c r="H16" s="11">
        <v>0.20250000000000001</v>
      </c>
      <c r="I16" s="3"/>
      <c r="J16" s="3"/>
      <c r="K16" s="28">
        <f>'Isotherme für Wheeler-Jonas'!E24</f>
        <v>0.12368388734853229</v>
      </c>
      <c r="L16" s="43" t="s">
        <v>17</v>
      </c>
      <c r="M16" s="3"/>
      <c r="N16" s="3"/>
      <c r="O16" s="3"/>
    </row>
    <row r="19" spans="1:13">
      <c r="A19" t="s">
        <v>16</v>
      </c>
      <c r="B19" s="9">
        <v>43.7</v>
      </c>
      <c r="E19" s="9">
        <v>84.7</v>
      </c>
      <c r="H19" s="9">
        <v>301.3</v>
      </c>
      <c r="K19" s="12">
        <f>K16*B8/(L1/1000)/K13</f>
        <v>1513.136536609577</v>
      </c>
    </row>
    <row r="20" spans="1:13">
      <c r="A20" t="s">
        <v>15</v>
      </c>
      <c r="C20" t="s">
        <v>36</v>
      </c>
      <c r="F20" t="s">
        <v>36</v>
      </c>
      <c r="I20" t="s">
        <v>36</v>
      </c>
      <c r="L20" t="s">
        <v>36</v>
      </c>
    </row>
    <row r="21" spans="1:13">
      <c r="A21">
        <v>20</v>
      </c>
      <c r="B21" s="9"/>
      <c r="C21" s="12"/>
      <c r="E21" s="9"/>
      <c r="F21" s="12"/>
      <c r="H21" s="9"/>
      <c r="I21" s="12"/>
      <c r="L21" s="12">
        <f>TREND(C30:C32, B30:B32, K13)</f>
        <v>2740.5244003252865</v>
      </c>
    </row>
    <row r="22" spans="1:13">
      <c r="A22">
        <v>30</v>
      </c>
      <c r="B22" s="9">
        <v>30.2</v>
      </c>
      <c r="C22" s="12">
        <f>B$16*$B$9/B$13*LN((1-($A22/100))/($A22/100))/(B$19-B22)</f>
        <v>6047.274544164582</v>
      </c>
      <c r="E22" s="9">
        <v>44.67</v>
      </c>
      <c r="F22" s="12">
        <f>E$16*$B$9/E$13*LN((1-($A22/100))/($A22/100))/(E$19-E22)</f>
        <v>3807.6797675845241</v>
      </c>
      <c r="H22" s="9">
        <v>131.30000000000001</v>
      </c>
      <c r="I22" s="12">
        <f>H$16*$B$9/H$13*LN((1-($A22/100))/($A22/100))/(H$19-H22)</f>
        <v>2868.5991298125855</v>
      </c>
    </row>
    <row r="23" spans="1:13">
      <c r="A23">
        <v>40</v>
      </c>
      <c r="B23" s="9">
        <v>37.700000000000003</v>
      </c>
      <c r="C23" s="12">
        <f t="shared" ref="C23:C26" si="0">B$16*$B$9/B$13*LN((1-($A23/100))/($A23/100))/(B$19-B23)</f>
        <v>6511.1782033771369</v>
      </c>
      <c r="E23" s="9">
        <v>67.5</v>
      </c>
      <c r="F23" s="12">
        <f t="shared" ref="F23:F26" si="1">E$16*$B$9/E$13*LN((1-($A23/100))/($A23/100))/(E$19-E23)</f>
        <v>4240.6744848451062</v>
      </c>
      <c r="H23" s="9">
        <v>221</v>
      </c>
      <c r="I23" s="12">
        <f t="shared" ref="I23:I25" si="2">H$16*$B$9/H$13*LN((1-($A23/100))/($A23/100))/(H$19-H23)</f>
        <v>2906.1673286764681</v>
      </c>
    </row>
    <row r="24" spans="1:13">
      <c r="A24">
        <v>60</v>
      </c>
      <c r="B24" s="9">
        <v>49.83</v>
      </c>
      <c r="C24" s="12">
        <f t="shared" si="0"/>
        <v>6373.0944894392915</v>
      </c>
      <c r="E24" s="9">
        <v>103.33</v>
      </c>
      <c r="F24" s="12">
        <f t="shared" si="1"/>
        <v>3915.1691432815819</v>
      </c>
      <c r="H24" s="9">
        <v>374</v>
      </c>
      <c r="I24" s="12">
        <f t="shared" si="2"/>
        <v>3209.9757426784108</v>
      </c>
    </row>
    <row r="25" spans="1:13">
      <c r="A25">
        <v>70</v>
      </c>
      <c r="B25" s="9">
        <v>56.67</v>
      </c>
      <c r="C25" s="12">
        <f t="shared" si="0"/>
        <v>6294.3875363316774</v>
      </c>
      <c r="E25" s="9">
        <v>121.5</v>
      </c>
      <c r="F25" s="12">
        <f t="shared" si="1"/>
        <v>4141.8864428371871</v>
      </c>
      <c r="H25" s="9">
        <v>437</v>
      </c>
      <c r="I25" s="12">
        <f t="shared" si="2"/>
        <v>3593.6761390430315</v>
      </c>
    </row>
    <row r="26" spans="1:13">
      <c r="A26">
        <v>80</v>
      </c>
      <c r="B26" s="9">
        <v>65.83</v>
      </c>
      <c r="C26" s="12">
        <f t="shared" si="0"/>
        <v>6035.7520065113613</v>
      </c>
      <c r="E26" s="9">
        <v>141.30000000000001</v>
      </c>
      <c r="F26" s="12">
        <f t="shared" si="1"/>
        <v>4406.0449376101096</v>
      </c>
      <c r="H26" s="33"/>
      <c r="I26" s="12"/>
    </row>
    <row r="27" spans="1:13">
      <c r="A27" s="2" t="s">
        <v>18</v>
      </c>
      <c r="C27" s="13">
        <f>AVERAGE(C21:C26)</f>
        <v>6252.3373559648098</v>
      </c>
      <c r="F27" s="13">
        <f>AVERAGE(F21:F26)</f>
        <v>4102.2909552317014</v>
      </c>
      <c r="I27" s="13">
        <f>AVERAGE(I21:I26)</f>
        <v>3144.6045850526239</v>
      </c>
    </row>
    <row r="29" spans="1:13">
      <c r="A29" s="6" t="s">
        <v>19</v>
      </c>
      <c r="B29" s="35" t="s">
        <v>21</v>
      </c>
      <c r="C29" s="36" t="s">
        <v>22</v>
      </c>
      <c r="K29" s="29" t="s">
        <v>23</v>
      </c>
      <c r="L29" s="29" t="s">
        <v>24</v>
      </c>
      <c r="M29" s="29" t="s">
        <v>25</v>
      </c>
    </row>
    <row r="30" spans="1:13">
      <c r="A30" s="7"/>
      <c r="B30" s="37">
        <f>B13</f>
        <v>341.17594690355276</v>
      </c>
      <c r="C30" s="38">
        <f>C27</f>
        <v>6252.3373559648098</v>
      </c>
      <c r="D30" s="6"/>
      <c r="E30" s="6"/>
      <c r="K30" s="12">
        <v>0.1</v>
      </c>
      <c r="L30" s="12">
        <f t="shared" ref="L30:L53" si="3">$K$19-$B$9*$K$16/$K$13/$L$21*LN((1-K30/100)/(K30/100))</f>
        <v>-6460.4487907915718</v>
      </c>
      <c r="M30" s="12">
        <f t="shared" ref="M30:M33" si="4">L30/60</f>
        <v>-107.67414651319287</v>
      </c>
    </row>
    <row r="31" spans="1:13">
      <c r="A31" s="6"/>
      <c r="B31" s="39">
        <f>E13</f>
        <v>151.63375417935677</v>
      </c>
      <c r="C31" s="40">
        <f>F27</f>
        <v>4102.2909552317014</v>
      </c>
      <c r="D31" s="8"/>
      <c r="E31" s="8"/>
      <c r="F31" s="1"/>
      <c r="K31" s="12">
        <v>1</v>
      </c>
      <c r="L31" s="12">
        <f t="shared" si="3"/>
        <v>-3791.7543113976553</v>
      </c>
      <c r="M31" s="12">
        <f t="shared" si="4"/>
        <v>-63.195905189960925</v>
      </c>
    </row>
    <row r="32" spans="1:13">
      <c r="A32" s="6"/>
      <c r="B32" s="41">
        <f>H13</f>
        <v>34.117594690355276</v>
      </c>
      <c r="C32" s="42">
        <f>I27</f>
        <v>3144.6045850526239</v>
      </c>
      <c r="D32" s="6"/>
      <c r="E32" s="6"/>
      <c r="K32" s="12">
        <v>5</v>
      </c>
      <c r="L32" s="12">
        <f t="shared" si="3"/>
        <v>-1886.1061170152907</v>
      </c>
      <c r="M32" s="12">
        <f t="shared" si="4"/>
        <v>-31.435101950254843</v>
      </c>
    </row>
    <row r="33" spans="1:13">
      <c r="D33" s="6"/>
      <c r="E33" s="6"/>
      <c r="K33" s="12">
        <v>10</v>
      </c>
      <c r="L33" s="12">
        <f t="shared" si="3"/>
        <v>-1023.4755500122919</v>
      </c>
      <c r="M33" s="12">
        <f t="shared" si="4"/>
        <v>-17.057925833538199</v>
      </c>
    </row>
    <row r="34" spans="1:13">
      <c r="A34" s="6"/>
      <c r="B34" s="6"/>
      <c r="C34" s="6"/>
      <c r="D34" s="6"/>
      <c r="E34" s="6"/>
      <c r="K34" s="12">
        <v>15</v>
      </c>
      <c r="L34" s="12">
        <f t="shared" si="3"/>
        <v>-489.39431433276172</v>
      </c>
      <c r="M34" s="12">
        <f>L34/60</f>
        <v>-8.1565719055460288</v>
      </c>
    </row>
    <row r="35" spans="1:13">
      <c r="A35" s="6"/>
      <c r="B35" s="6"/>
      <c r="C35" s="6"/>
      <c r="D35" s="6"/>
      <c r="E35" s="6"/>
      <c r="K35" s="12">
        <v>20</v>
      </c>
      <c r="L35" s="12">
        <f t="shared" si="3"/>
        <v>-87.287502109139041</v>
      </c>
      <c r="M35" s="12">
        <f>L35/60</f>
        <v>-1.454791701818984</v>
      </c>
    </row>
    <row r="36" spans="1:13">
      <c r="K36" s="12">
        <v>22</v>
      </c>
      <c r="L36" s="12">
        <f t="shared" si="3"/>
        <v>51.972915312749819</v>
      </c>
      <c r="M36" s="12">
        <f>L36/60</f>
        <v>0.86621525521249698</v>
      </c>
    </row>
    <row r="37" spans="1:13">
      <c r="K37" s="12">
        <v>25</v>
      </c>
      <c r="L37" s="12">
        <f t="shared" si="3"/>
        <v>244.83049329864252</v>
      </c>
      <c r="M37" s="12">
        <f>L37/60</f>
        <v>4.0805082216440418</v>
      </c>
    </row>
    <row r="38" spans="1:13">
      <c r="K38" s="12">
        <v>30</v>
      </c>
      <c r="L38" s="12">
        <f t="shared" si="3"/>
        <v>534.96342868236275</v>
      </c>
      <c r="M38" s="12">
        <f>L38/60</f>
        <v>8.9160571447060466</v>
      </c>
    </row>
    <row r="39" spans="1:13">
      <c r="K39" s="12">
        <v>35</v>
      </c>
      <c r="L39" s="12">
        <f t="shared" si="3"/>
        <v>798.47934847646832</v>
      </c>
      <c r="M39" s="12">
        <f t="shared" ref="M39:M53" si="5">L39/60</f>
        <v>13.307989141274472</v>
      </c>
    </row>
    <row r="40" spans="1:13">
      <c r="K40" s="12">
        <v>40</v>
      </c>
      <c r="L40" s="12">
        <f t="shared" si="3"/>
        <v>1045.0425126580008</v>
      </c>
      <c r="M40" s="12">
        <f t="shared" si="5"/>
        <v>17.417375210966679</v>
      </c>
    </row>
    <row r="41" spans="1:13">
      <c r="K41" s="12">
        <v>45</v>
      </c>
      <c r="L41" s="12">
        <f t="shared" si="3"/>
        <v>1281.4698618460814</v>
      </c>
      <c r="M41" s="12">
        <f t="shared" si="5"/>
        <v>21.357831030768022</v>
      </c>
    </row>
    <row r="42" spans="1:13">
      <c r="K42" s="12">
        <v>50</v>
      </c>
      <c r="L42" s="12">
        <f t="shared" si="3"/>
        <v>1513.136536609577</v>
      </c>
      <c r="M42" s="12">
        <f t="shared" si="5"/>
        <v>25.218942276826283</v>
      </c>
    </row>
    <row r="43" spans="1:13">
      <c r="K43" s="12">
        <v>55</v>
      </c>
      <c r="L43" s="12">
        <f t="shared" si="3"/>
        <v>1744.8032113730728</v>
      </c>
      <c r="M43" s="12">
        <f t="shared" si="5"/>
        <v>29.080053522884548</v>
      </c>
    </row>
    <row r="44" spans="1:13">
      <c r="K44" s="12">
        <v>60</v>
      </c>
      <c r="L44" s="12">
        <f t="shared" si="3"/>
        <v>1981.2305605611532</v>
      </c>
      <c r="M44" s="12">
        <f t="shared" si="5"/>
        <v>33.020509342685884</v>
      </c>
    </row>
    <row r="45" spans="1:13">
      <c r="K45" s="12">
        <v>65</v>
      </c>
      <c r="L45" s="12">
        <f t="shared" si="3"/>
        <v>2227.7937247426853</v>
      </c>
      <c r="M45" s="12">
        <f t="shared" si="5"/>
        <v>37.12989541237809</v>
      </c>
    </row>
    <row r="46" spans="1:13">
      <c r="K46" s="12">
        <v>70</v>
      </c>
      <c r="L46" s="12">
        <f t="shared" si="3"/>
        <v>2491.309644536791</v>
      </c>
      <c r="M46" s="12">
        <f t="shared" si="5"/>
        <v>41.521827408946514</v>
      </c>
    </row>
    <row r="47" spans="1:13">
      <c r="K47" s="12">
        <v>75</v>
      </c>
      <c r="L47" s="12">
        <f t="shared" si="3"/>
        <v>2781.4425799205114</v>
      </c>
      <c r="M47" s="12">
        <f t="shared" si="5"/>
        <v>46.357376332008521</v>
      </c>
    </row>
    <row r="48" spans="1:13">
      <c r="K48" s="12">
        <v>80</v>
      </c>
      <c r="L48" s="12">
        <f t="shared" si="3"/>
        <v>3113.5605753282935</v>
      </c>
      <c r="M48" s="12">
        <f t="shared" si="5"/>
        <v>51.892676255471557</v>
      </c>
    </row>
    <row r="49" spans="11:13">
      <c r="K49" s="12">
        <v>85</v>
      </c>
      <c r="L49" s="12">
        <f t="shared" si="3"/>
        <v>3515.6673875519155</v>
      </c>
      <c r="M49" s="12">
        <f t="shared" si="5"/>
        <v>58.594456459198589</v>
      </c>
    </row>
    <row r="50" spans="11:13">
      <c r="K50" s="12">
        <v>90</v>
      </c>
      <c r="L50" s="12">
        <f t="shared" si="3"/>
        <v>4049.7486232314459</v>
      </c>
      <c r="M50" s="12">
        <f t="shared" si="5"/>
        <v>67.495810387190758</v>
      </c>
    </row>
    <row r="51" spans="11:13">
      <c r="K51" s="12">
        <v>95</v>
      </c>
      <c r="L51" s="12">
        <f t="shared" si="3"/>
        <v>4912.3791902344437</v>
      </c>
      <c r="M51" s="12">
        <f t="shared" si="5"/>
        <v>81.872986503907399</v>
      </c>
    </row>
    <row r="52" spans="11:13">
      <c r="K52" s="12">
        <v>99</v>
      </c>
      <c r="L52" s="12">
        <f t="shared" si="3"/>
        <v>6818.0273846168084</v>
      </c>
      <c r="M52" s="12">
        <f t="shared" si="5"/>
        <v>113.63378974361348</v>
      </c>
    </row>
    <row r="53" spans="11:13">
      <c r="K53" s="12">
        <v>99.9</v>
      </c>
      <c r="L53" s="12">
        <f t="shared" si="3"/>
        <v>9486.7218640108531</v>
      </c>
      <c r="M53" s="12">
        <f t="shared" si="5"/>
        <v>158.11203106684755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3"/>
  <dimension ref="A1:P40"/>
  <sheetViews>
    <sheetView workbookViewId="0">
      <selection activeCell="F17" sqref="F17"/>
    </sheetView>
  </sheetViews>
  <sheetFormatPr baseColWidth="10" defaultRowHeight="15"/>
  <cols>
    <col min="1" max="1" width="38.140625" bestFit="1" customWidth="1"/>
    <col min="4" max="4" width="12.28515625" bestFit="1" customWidth="1"/>
    <col min="7" max="7" width="20.42578125" bestFit="1" customWidth="1"/>
    <col min="11" max="11" width="21.42578125" bestFit="1" customWidth="1"/>
  </cols>
  <sheetData>
    <row r="1" spans="1:15">
      <c r="A1" s="20" t="s">
        <v>1</v>
      </c>
      <c r="B1" s="21">
        <v>23</v>
      </c>
      <c r="C1" s="22"/>
      <c r="D1" s="22" t="s">
        <v>3</v>
      </c>
      <c r="E1" s="21">
        <v>1013</v>
      </c>
      <c r="F1" s="22"/>
      <c r="G1" s="22" t="s">
        <v>4</v>
      </c>
      <c r="H1" s="21">
        <v>92.14</v>
      </c>
      <c r="I1" s="52" t="s">
        <v>5</v>
      </c>
      <c r="J1" s="51"/>
      <c r="K1" s="51"/>
      <c r="L1" s="51"/>
    </row>
    <row r="2" spans="1:15" ht="15.75" thickBot="1">
      <c r="A2" s="18" t="s">
        <v>2</v>
      </c>
      <c r="B2" s="27">
        <f>273.15+B1</f>
        <v>296.14999999999998</v>
      </c>
      <c r="C2" s="24"/>
      <c r="D2" s="24"/>
      <c r="E2" s="24"/>
      <c r="F2" s="24"/>
      <c r="G2" s="24"/>
      <c r="H2" s="24"/>
      <c r="I2" s="53"/>
      <c r="J2" s="51"/>
      <c r="K2" s="51"/>
      <c r="L2" s="51"/>
    </row>
    <row r="4" spans="1:15" ht="15.75" thickBot="1"/>
    <row r="5" spans="1:15">
      <c r="A5" s="14" t="s">
        <v>7</v>
      </c>
      <c r="B5" s="15"/>
      <c r="D5" s="14" t="s">
        <v>44</v>
      </c>
      <c r="E5" s="23" t="s">
        <v>45</v>
      </c>
    </row>
    <row r="6" spans="1:15" ht="15.75" thickBot="1">
      <c r="A6" s="16" t="s">
        <v>10</v>
      </c>
      <c r="B6" s="17">
        <v>160</v>
      </c>
      <c r="D6" s="18"/>
      <c r="E6" s="44" t="s">
        <v>46</v>
      </c>
    </row>
    <row r="7" spans="1:15">
      <c r="A7" s="16" t="s">
        <v>8</v>
      </c>
      <c r="B7" s="17">
        <v>0.01</v>
      </c>
    </row>
    <row r="8" spans="1:15">
      <c r="A8" s="16" t="s">
        <v>9</v>
      </c>
      <c r="B8" s="26">
        <f>B6*B7*1000</f>
        <v>1600</v>
      </c>
    </row>
    <row r="9" spans="1:15" ht="15.75" thickBot="1">
      <c r="A9" s="18" t="s">
        <v>12</v>
      </c>
      <c r="B9" s="19">
        <v>96969700</v>
      </c>
    </row>
    <row r="12" spans="1:15">
      <c r="A12" s="4" t="s">
        <v>20</v>
      </c>
      <c r="B12" s="10">
        <v>90</v>
      </c>
      <c r="C12" s="4"/>
      <c r="D12" s="4"/>
      <c r="E12" s="3"/>
      <c r="F12" s="10">
        <v>40</v>
      </c>
      <c r="G12" s="4"/>
      <c r="H12" s="3"/>
      <c r="I12" s="3"/>
      <c r="J12" s="10">
        <v>9</v>
      </c>
      <c r="K12" s="4"/>
      <c r="L12" s="4"/>
      <c r="M12" s="3"/>
      <c r="N12" s="10">
        <v>1</v>
      </c>
      <c r="O12" s="3"/>
    </row>
    <row r="13" spans="1:15">
      <c r="A13" t="s">
        <v>6</v>
      </c>
      <c r="B13" s="12">
        <f>0.1*H1*E1*B12/8.314/B2</f>
        <v>341.17594690355276</v>
      </c>
      <c r="F13" s="12">
        <f>0.1*H1*E1*F12/8.314/B2</f>
        <v>151.63375417935677</v>
      </c>
      <c r="J13" s="12">
        <f>0.1*H1*E1*J12/8.314/B2</f>
        <v>34.117594690355276</v>
      </c>
      <c r="N13" s="12">
        <f>0.1*H1*E1*N12/8.314/B2</f>
        <v>3.7908438544839194</v>
      </c>
    </row>
    <row r="15" spans="1:15">
      <c r="A15" s="34" t="s">
        <v>42</v>
      </c>
    </row>
    <row r="16" spans="1:15">
      <c r="A16" s="2" t="s">
        <v>14</v>
      </c>
    </row>
    <row r="17" spans="1:16">
      <c r="A17" t="s">
        <v>16</v>
      </c>
      <c r="B17" s="9">
        <v>43.7</v>
      </c>
      <c r="F17" s="9">
        <v>84.7</v>
      </c>
      <c r="J17" s="9">
        <v>301.3</v>
      </c>
      <c r="N17" s="9">
        <v>1252.67</v>
      </c>
    </row>
    <row r="18" spans="1:16">
      <c r="A18" t="s">
        <v>15</v>
      </c>
      <c r="C18" t="s">
        <v>47</v>
      </c>
    </row>
    <row r="19" spans="1:16">
      <c r="A19">
        <v>20</v>
      </c>
      <c r="B19" s="33"/>
      <c r="C19" s="12"/>
      <c r="F19" s="33"/>
      <c r="G19" s="12"/>
      <c r="J19" s="33"/>
      <c r="K19" s="12"/>
      <c r="N19" s="33"/>
      <c r="O19" s="12"/>
    </row>
    <row r="20" spans="1:16">
      <c r="A20">
        <v>30</v>
      </c>
      <c r="B20" s="9">
        <v>30.2</v>
      </c>
      <c r="C20" s="12">
        <f>LN(($A20/100)/(1-($A20/100)))/(B$20-B$17)</f>
        <v>6.2762804473126169E-2</v>
      </c>
      <c r="F20" s="9">
        <v>44.67</v>
      </c>
      <c r="G20" s="12">
        <f>LN(($A20/100)/(1-($A20/100)))/(F$20-F$17)</f>
        <v>2.1166571580994342E-2</v>
      </c>
      <c r="J20" s="9">
        <v>131.30000000000001</v>
      </c>
      <c r="K20" s="12">
        <f>LN(($A20/100)/(1-($A20/100)))/(J$20-J$17)</f>
        <v>4.9841050611011978E-3</v>
      </c>
      <c r="N20" s="9">
        <v>416.17</v>
      </c>
      <c r="O20" s="12">
        <f>LN(($A20/100)/(1-($A20/100)))/(N$20-N$17)</f>
        <v>1.0129083806182948E-3</v>
      </c>
    </row>
    <row r="21" spans="1:16">
      <c r="A21">
        <v>40</v>
      </c>
      <c r="B21" s="9">
        <v>37.700000000000003</v>
      </c>
      <c r="C21" s="12">
        <f>LN((A21/100)/(1-(A21/100)))/(B21-B$17)</f>
        <v>6.7577518018027374E-2</v>
      </c>
      <c r="F21" s="9">
        <v>67.5</v>
      </c>
      <c r="G21" s="12">
        <f>LN(($A21/100)/(1-($A21/100)))/(F$21-F$17)</f>
        <v>2.3573552796986291E-2</v>
      </c>
      <c r="J21" s="9">
        <v>221</v>
      </c>
      <c r="K21" s="12">
        <f>LN(($A21/100)/(1-($A21/100)))/(J$21-J$17)</f>
        <v>5.0493786812971881E-3</v>
      </c>
      <c r="N21" s="9">
        <v>844.17</v>
      </c>
      <c r="O21" s="12">
        <f>LN(($A21/100)/(1-($A21/100)))/(N$21-N$17)</f>
        <v>9.9257064408363313E-4</v>
      </c>
    </row>
    <row r="22" spans="1:16">
      <c r="A22" s="2" t="s">
        <v>38</v>
      </c>
      <c r="C22" s="13">
        <f>AVERAGE(C19:C21)</f>
        <v>6.5170161245576771E-2</v>
      </c>
      <c r="G22" s="13">
        <f>AVERAGE(G19:G21)</f>
        <v>2.2370062188990316E-2</v>
      </c>
      <c r="K22" s="13">
        <f>AVERAGE(K19:K21)</f>
        <v>5.0167418711991926E-3</v>
      </c>
      <c r="O22" s="13">
        <f>AVERAGE(O19:O21)</f>
        <v>1.0027395123509641E-3</v>
      </c>
    </row>
    <row r="25" spans="1:16">
      <c r="B25" s="2" t="s">
        <v>41</v>
      </c>
      <c r="C25" s="2"/>
      <c r="D25" s="2"/>
      <c r="E25" s="2"/>
    </row>
    <row r="28" spans="1:16">
      <c r="B28" s="29" t="s">
        <v>39</v>
      </c>
      <c r="C28" s="29" t="s">
        <v>40</v>
      </c>
      <c r="D28" s="29" t="s">
        <v>37</v>
      </c>
      <c r="F28" s="29" t="s">
        <v>39</v>
      </c>
      <c r="G28" s="29" t="s">
        <v>40</v>
      </c>
      <c r="H28" s="29" t="s">
        <v>37</v>
      </c>
      <c r="J28" s="29" t="s">
        <v>39</v>
      </c>
      <c r="K28" s="29" t="s">
        <v>40</v>
      </c>
      <c r="L28" s="29" t="s">
        <v>37</v>
      </c>
      <c r="N28" s="29" t="s">
        <v>39</v>
      </c>
      <c r="O28" s="29" t="s">
        <v>40</v>
      </c>
      <c r="P28" s="29" t="s">
        <v>37</v>
      </c>
    </row>
    <row r="29" spans="1:16">
      <c r="B29" s="12">
        <v>50</v>
      </c>
      <c r="C29" s="12">
        <f>B$17-1/C$22*LN((1-B29/100)/(B29/100))</f>
        <v>43.7</v>
      </c>
      <c r="D29" s="12">
        <f>C29/60</f>
        <v>0.72833333333333339</v>
      </c>
      <c r="F29" s="12">
        <v>50</v>
      </c>
      <c r="G29" s="12">
        <f>F$17-1/G$22*LN((1-F29/100)/(F29/100))</f>
        <v>84.7</v>
      </c>
      <c r="H29" s="12">
        <f>G29/60</f>
        <v>1.4116666666666666</v>
      </c>
      <c r="J29" s="12">
        <v>50</v>
      </c>
      <c r="K29" s="12">
        <f>J$17-1/K$22*LN((1-J29/100)/(J29/100))</f>
        <v>301.3</v>
      </c>
      <c r="L29" s="12">
        <f>K29/60</f>
        <v>5.0216666666666665</v>
      </c>
      <c r="N29" s="12">
        <v>50</v>
      </c>
      <c r="O29" s="12">
        <f>N$17-1/O$22*LN((1-N29/100)/(N29/100))</f>
        <v>1252.67</v>
      </c>
      <c r="P29" s="12">
        <f>O29/60</f>
        <v>20.877833333333335</v>
      </c>
    </row>
    <row r="30" spans="1:16">
      <c r="B30" s="12">
        <v>55</v>
      </c>
      <c r="C30" s="12">
        <f t="shared" ref="C30:C40" si="0">B$17-1/C$22*LN((1-B30/100)/(B30/100))</f>
        <v>46.779180588582193</v>
      </c>
      <c r="D30" s="12">
        <f t="shared" ref="D30:D40" si="1">C30/60</f>
        <v>0.7796530098097032</v>
      </c>
      <c r="F30" s="12">
        <v>55</v>
      </c>
      <c r="G30" s="12">
        <f t="shared" ref="G30:G40" si="2">F$17-1/G$22*LN((1-F30/100)/(F30/100))</f>
        <v>93.670502351169759</v>
      </c>
      <c r="H30" s="12">
        <f t="shared" ref="H30:H40" si="3">G30/60</f>
        <v>1.5611750391861627</v>
      </c>
      <c r="J30" s="12">
        <v>55</v>
      </c>
      <c r="K30" s="12">
        <f t="shared" ref="K30:K40" si="4">J$17-1/K$22*LN((1-J30/100)/(J30/100))</f>
        <v>341.30020344163802</v>
      </c>
      <c r="L30" s="12">
        <f t="shared" ref="L30:L40" si="5">K30/60</f>
        <v>5.6883367240273</v>
      </c>
      <c r="N30" s="12">
        <v>55</v>
      </c>
      <c r="O30" s="12">
        <f t="shared" ref="O30:O40" si="6">N$17-1/O$22*LN((1-N30/100)/(N30/100))</f>
        <v>1452.7924575180755</v>
      </c>
      <c r="P30" s="12">
        <f t="shared" ref="P30:P40" si="7">O30/60</f>
        <v>24.213207625301258</v>
      </c>
    </row>
    <row r="31" spans="1:16">
      <c r="B31" s="12">
        <v>60</v>
      </c>
      <c r="C31" s="12">
        <f t="shared" si="0"/>
        <v>49.92163733154311</v>
      </c>
      <c r="D31" s="12">
        <f t="shared" si="1"/>
        <v>0.83202728885905186</v>
      </c>
      <c r="F31" s="12">
        <v>60</v>
      </c>
      <c r="G31" s="12">
        <f t="shared" si="2"/>
        <v>102.82534559281282</v>
      </c>
      <c r="H31" s="12">
        <f t="shared" si="3"/>
        <v>1.7137557598802138</v>
      </c>
      <c r="J31" s="12">
        <v>60</v>
      </c>
      <c r="K31" s="12">
        <f t="shared" si="4"/>
        <v>382.12239798621385</v>
      </c>
      <c r="L31" s="12">
        <f t="shared" si="5"/>
        <v>6.3687066331035647</v>
      </c>
      <c r="N31" s="12">
        <v>60</v>
      </c>
      <c r="O31" s="12">
        <f t="shared" si="6"/>
        <v>1657.0273661095041</v>
      </c>
      <c r="P31" s="12">
        <f t="shared" si="7"/>
        <v>27.617122768491736</v>
      </c>
    </row>
    <row r="32" spans="1:16">
      <c r="B32" s="12">
        <v>65</v>
      </c>
      <c r="C32" s="12">
        <f t="shared" si="0"/>
        <v>53.198813514877394</v>
      </c>
      <c r="D32" s="12">
        <f t="shared" si="1"/>
        <v>0.8866468919146232</v>
      </c>
      <c r="F32" s="12">
        <v>65</v>
      </c>
      <c r="G32" s="12">
        <f t="shared" si="2"/>
        <v>112.37266372245003</v>
      </c>
      <c r="H32" s="12">
        <f t="shared" si="3"/>
        <v>1.8728777287075005</v>
      </c>
      <c r="J32" s="12">
        <v>65</v>
      </c>
      <c r="K32" s="12">
        <f t="shared" si="4"/>
        <v>424.69467014639315</v>
      </c>
      <c r="L32" s="12">
        <f t="shared" si="5"/>
        <v>7.0782445024398859</v>
      </c>
      <c r="N32" s="12">
        <v>65</v>
      </c>
      <c r="O32" s="12">
        <f t="shared" si="6"/>
        <v>1870.0179760011258</v>
      </c>
      <c r="P32" s="12">
        <f t="shared" si="7"/>
        <v>31.166966266685431</v>
      </c>
    </row>
    <row r="33" spans="2:16">
      <c r="B33" s="12">
        <v>70</v>
      </c>
      <c r="C33" s="12">
        <f t="shared" si="0"/>
        <v>56.701316004028016</v>
      </c>
      <c r="D33" s="12">
        <f t="shared" si="1"/>
        <v>0.94502193340046692</v>
      </c>
      <c r="F33" s="12">
        <v>70</v>
      </c>
      <c r="G33" s="12">
        <f t="shared" si="2"/>
        <v>122.57641953021529</v>
      </c>
      <c r="H33" s="12">
        <f t="shared" si="3"/>
        <v>2.0429403255035883</v>
      </c>
      <c r="J33" s="12">
        <v>70</v>
      </c>
      <c r="K33" s="12">
        <f t="shared" si="4"/>
        <v>470.19405158584868</v>
      </c>
      <c r="L33" s="12">
        <f t="shared" si="5"/>
        <v>7.8365675264308114</v>
      </c>
      <c r="N33" s="12">
        <v>70</v>
      </c>
      <c r="O33" s="12">
        <f t="shared" si="6"/>
        <v>2097.653018970379</v>
      </c>
      <c r="P33" s="12">
        <f t="shared" si="7"/>
        <v>34.960883649506314</v>
      </c>
    </row>
    <row r="34" spans="2:16">
      <c r="B34" s="12">
        <v>75</v>
      </c>
      <c r="C34" s="12">
        <f t="shared" si="0"/>
        <v>60.557596600509797</v>
      </c>
      <c r="D34" s="12">
        <f t="shared" si="1"/>
        <v>1.0092932766751632</v>
      </c>
      <c r="F34" s="12">
        <v>75</v>
      </c>
      <c r="G34" s="12">
        <f t="shared" si="2"/>
        <v>133.81082854337367</v>
      </c>
      <c r="H34" s="12">
        <f t="shared" si="3"/>
        <v>2.2301804757228947</v>
      </c>
      <c r="J34" s="12">
        <v>75</v>
      </c>
      <c r="K34" s="12">
        <f t="shared" si="4"/>
        <v>520.28919993774753</v>
      </c>
      <c r="L34" s="12">
        <f t="shared" si="5"/>
        <v>8.671486665629125</v>
      </c>
      <c r="N34" s="12">
        <v>75</v>
      </c>
      <c r="O34" s="12">
        <f t="shared" si="6"/>
        <v>2348.2808492148356</v>
      </c>
      <c r="P34" s="12">
        <f t="shared" si="7"/>
        <v>39.138014153580592</v>
      </c>
    </row>
    <row r="35" spans="2:16">
      <c r="B35" s="12">
        <v>80</v>
      </c>
      <c r="C35" s="12">
        <f t="shared" si="0"/>
        <v>64.971918537933362</v>
      </c>
      <c r="D35" s="12">
        <f t="shared" si="1"/>
        <v>1.082865308965556</v>
      </c>
      <c r="F35" s="12">
        <v>80</v>
      </c>
      <c r="G35" s="12">
        <f t="shared" si="2"/>
        <v>146.67096590112169</v>
      </c>
      <c r="H35" s="12">
        <f t="shared" si="3"/>
        <v>2.444516098352028</v>
      </c>
      <c r="J35" s="12">
        <v>80</v>
      </c>
      <c r="K35" s="12">
        <f t="shared" si="4"/>
        <v>577.63360390306741</v>
      </c>
      <c r="L35" s="12">
        <f t="shared" si="5"/>
        <v>9.6272267317177906</v>
      </c>
      <c r="N35" s="12">
        <v>80</v>
      </c>
      <c r="O35" s="12">
        <f t="shared" si="6"/>
        <v>2635.1769662106626</v>
      </c>
      <c r="P35" s="12">
        <f t="shared" si="7"/>
        <v>43.919616103511046</v>
      </c>
    </row>
    <row r="36" spans="2:16">
      <c r="B36" s="12">
        <v>85</v>
      </c>
      <c r="C36" s="12">
        <f t="shared" si="0"/>
        <v>70.316491692443634</v>
      </c>
      <c r="D36" s="12">
        <f t="shared" si="1"/>
        <v>1.1719415282073939</v>
      </c>
      <c r="F36" s="12">
        <v>85</v>
      </c>
      <c r="G36" s="12">
        <f t="shared" si="2"/>
        <v>162.24118163523971</v>
      </c>
      <c r="H36" s="12">
        <f t="shared" si="3"/>
        <v>2.704019693920662</v>
      </c>
      <c r="J36" s="12">
        <v>85</v>
      </c>
      <c r="K36" s="12">
        <f t="shared" si="4"/>
        <v>647.06246893354114</v>
      </c>
      <c r="L36" s="12">
        <f t="shared" si="5"/>
        <v>10.784374482225685</v>
      </c>
      <c r="N36" s="12">
        <v>85</v>
      </c>
      <c r="O36" s="12">
        <f t="shared" si="6"/>
        <v>2982.5320768630754</v>
      </c>
      <c r="P36" s="12">
        <f t="shared" si="7"/>
        <v>49.708867947717927</v>
      </c>
    </row>
    <row r="37" spans="2:16">
      <c r="B37" s="12">
        <v>90</v>
      </c>
      <c r="C37" s="12">
        <f t="shared" si="0"/>
        <v>77.415193201019576</v>
      </c>
      <c r="D37" s="12">
        <f t="shared" si="1"/>
        <v>1.2902532200169929</v>
      </c>
      <c r="F37" s="12">
        <v>90</v>
      </c>
      <c r="G37" s="12">
        <f t="shared" si="2"/>
        <v>182.92165708674736</v>
      </c>
      <c r="H37" s="12">
        <f t="shared" si="3"/>
        <v>3.0486942847791227</v>
      </c>
      <c r="J37" s="12">
        <v>90</v>
      </c>
      <c r="K37" s="12">
        <f t="shared" si="4"/>
        <v>739.2783998754951</v>
      </c>
      <c r="L37" s="12">
        <f t="shared" si="5"/>
        <v>12.321306664591585</v>
      </c>
      <c r="N37" s="12">
        <v>90</v>
      </c>
      <c r="O37" s="12">
        <f t="shared" si="6"/>
        <v>3443.8916984296711</v>
      </c>
      <c r="P37" s="12">
        <f t="shared" si="7"/>
        <v>57.398194973827849</v>
      </c>
    </row>
    <row r="38" spans="2:16">
      <c r="B38" s="12">
        <v>95</v>
      </c>
      <c r="C38" s="12">
        <f t="shared" si="0"/>
        <v>88.880784010508876</v>
      </c>
      <c r="D38" s="12">
        <f t="shared" si="1"/>
        <v>1.481346400175148</v>
      </c>
      <c r="F38" s="12">
        <v>95</v>
      </c>
      <c r="G38" s="12">
        <f t="shared" si="2"/>
        <v>216.32408554302452</v>
      </c>
      <c r="H38" s="12">
        <f t="shared" si="3"/>
        <v>3.6054014257170754</v>
      </c>
      <c r="J38" s="12">
        <v>95</v>
      </c>
      <c r="K38" s="12">
        <f t="shared" si="4"/>
        <v>888.22255945443067</v>
      </c>
      <c r="L38" s="12">
        <f t="shared" si="5"/>
        <v>14.803709324240511</v>
      </c>
      <c r="N38" s="12">
        <v>95</v>
      </c>
      <c r="O38" s="12">
        <f t="shared" si="6"/>
        <v>4189.0646896468461</v>
      </c>
      <c r="P38" s="12">
        <f t="shared" si="7"/>
        <v>69.817744827447441</v>
      </c>
    </row>
    <row r="39" spans="2:16">
      <c r="B39" s="12">
        <v>99</v>
      </c>
      <c r="C39" s="12">
        <f t="shared" si="0"/>
        <v>114.20956699062133</v>
      </c>
      <c r="D39" s="12">
        <f t="shared" si="1"/>
        <v>1.9034927831770221</v>
      </c>
      <c r="F39" s="12">
        <v>99</v>
      </c>
      <c r="G39" s="12">
        <f t="shared" si="2"/>
        <v>290.1138165246644</v>
      </c>
      <c r="H39" s="12">
        <f t="shared" si="3"/>
        <v>4.8352302754110736</v>
      </c>
      <c r="J39" s="12">
        <v>99</v>
      </c>
      <c r="K39" s="12">
        <f t="shared" si="4"/>
        <v>1217.257003192628</v>
      </c>
      <c r="L39" s="12">
        <f t="shared" si="5"/>
        <v>20.287616719877132</v>
      </c>
      <c r="N39" s="12">
        <v>99</v>
      </c>
      <c r="O39" s="12">
        <f t="shared" si="6"/>
        <v>5835.2358543774162</v>
      </c>
      <c r="P39" s="12">
        <f t="shared" si="7"/>
        <v>97.253930906290265</v>
      </c>
    </row>
    <row r="40" spans="2:16">
      <c r="B40" s="12">
        <v>99.9</v>
      </c>
      <c r="C40" s="12">
        <f t="shared" si="0"/>
        <v>149.68032361194196</v>
      </c>
      <c r="D40" s="12">
        <f t="shared" si="1"/>
        <v>2.4946720601990324</v>
      </c>
      <c r="F40" s="12">
        <v>99.9</v>
      </c>
      <c r="G40" s="12">
        <f t="shared" si="2"/>
        <v>393.44991407256356</v>
      </c>
      <c r="H40" s="12">
        <f t="shared" si="3"/>
        <v>6.5574985678760589</v>
      </c>
      <c r="J40" s="12">
        <v>99.9</v>
      </c>
      <c r="K40" s="12">
        <f t="shared" si="4"/>
        <v>1678.0411112578704</v>
      </c>
      <c r="L40" s="12">
        <f t="shared" si="5"/>
        <v>27.967351854297839</v>
      </c>
      <c r="N40" s="12">
        <v>99.9</v>
      </c>
      <c r="O40" s="12">
        <f t="shared" si="6"/>
        <v>8140.5553317104195</v>
      </c>
      <c r="P40" s="12">
        <f t="shared" si="7"/>
        <v>135.67592219517365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Anleitung</vt:lpstr>
      <vt:lpstr>Isotherme für Wheeler-Jonas</vt:lpstr>
      <vt:lpstr>Wheeler-Jonas</vt:lpstr>
      <vt:lpstr>Yoon-Nelson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2018-03-26T14:04:32Z</dcterms:modified>
</cp:coreProperties>
</file>